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/>
  <mc:AlternateContent xmlns:mc="http://schemas.openxmlformats.org/markup-compatibility/2006">
    <mc:Choice Requires="x15">
      <x15ac:absPath xmlns:x15ac="http://schemas.microsoft.com/office/spreadsheetml/2010/11/ac" url="D:\2012秘書室\C-統計年報\2024統計年報\data-2024\"/>
    </mc:Choice>
  </mc:AlternateContent>
  <xr:revisionPtr revIDLastSave="0" documentId="13_ncr:1_{9864D321-AF54-46C5-8DF6-A77A863623F7}" xr6:coauthVersionLast="47" xr6:coauthVersionMax="47" xr10:uidLastSave="{00000000-0000-0000-0000-000000000000}"/>
  <bookViews>
    <workbookView xWindow="-120" yWindow="-120" windowWidth="29040" windowHeight="15720" tabRatio="818" activeTab="7" xr2:uid="{00000000-000D-0000-FFFF-FFFF00000000}"/>
  </bookViews>
  <sheets>
    <sheet name="表7-1歷年經費收入統計" sheetId="1" r:id="rId1"/>
    <sheet name="表7-2歷年經費支出決算表" sheetId="2" r:id="rId2"/>
    <sheet name="表7-3歷年收支餘絀決算表" sheetId="3" r:id="rId3"/>
    <sheet name="表7-4歷年人事費支出" sheetId="5" r:id="rId4"/>
    <sheet name="表7-5歷年水電費支出" sheetId="6" r:id="rId5"/>
    <sheet name="表7-6歷年新建工程總金額" sheetId="4" r:id="rId6"/>
    <sheet name="表7-7歷年國庫補助收入" sheetId="7" r:id="rId7"/>
    <sheet name="表7-8頂尖(高教深耕)計畫編列情形" sheetId="8" r:id="rId8"/>
  </sheets>
  <definedNames>
    <definedName name="_xlnm.Print_Area" localSheetId="7">'表7-8頂尖(高教深耕)計畫編列情形'!$A$1:$F$67</definedName>
    <definedName name="_xlnm.Print_Titles" localSheetId="0">'表7-1歷年經費收入統計'!$1:$2</definedName>
    <definedName name="_xlnm.Print_Titles" localSheetId="1">'表7-2歷年經費支出決算表'!$1:$2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8" i="5" l="1"/>
  <c r="D78" i="5" l="1"/>
  <c r="H76" i="7"/>
  <c r="E60" i="8" l="1"/>
  <c r="E59" i="8"/>
  <c r="E58" i="8"/>
  <c r="G75" i="7"/>
  <c r="F75" i="7"/>
  <c r="E75" i="7"/>
  <c r="D75" i="7"/>
  <c r="I74" i="7"/>
  <c r="C74" i="7"/>
  <c r="C75" i="7" s="1"/>
  <c r="H73" i="7"/>
  <c r="I73" i="7" s="1"/>
  <c r="I75" i="7" s="1"/>
  <c r="D75" i="6"/>
  <c r="C75" i="6"/>
  <c r="E75" i="6" s="1"/>
  <c r="E74" i="6"/>
  <c r="E73" i="6"/>
  <c r="M77" i="5"/>
  <c r="I77" i="5"/>
  <c r="H77" i="5"/>
  <c r="J77" i="5" s="1"/>
  <c r="F77" i="5"/>
  <c r="E77" i="5"/>
  <c r="D77" i="5"/>
  <c r="N76" i="5"/>
  <c r="J76" i="5"/>
  <c r="G76" i="5"/>
  <c r="C75" i="5" s="1"/>
  <c r="L75" i="5"/>
  <c r="N75" i="5" s="1"/>
  <c r="J75" i="5"/>
  <c r="F75" i="3"/>
  <c r="D75" i="3"/>
  <c r="C75" i="3"/>
  <c r="E75" i="3" s="1"/>
  <c r="G75" i="3" s="1"/>
  <c r="E74" i="3"/>
  <c r="G74" i="3" s="1"/>
  <c r="E73" i="3"/>
  <c r="G73" i="3" s="1"/>
  <c r="Z76" i="2"/>
  <c r="Y76" i="2"/>
  <c r="X76" i="2"/>
  <c r="W76" i="2"/>
  <c r="V76" i="2"/>
  <c r="U76" i="2"/>
  <c r="T76" i="2"/>
  <c r="S76" i="2"/>
  <c r="R76" i="2"/>
  <c r="Q76" i="2"/>
  <c r="P76" i="2"/>
  <c r="O76" i="2"/>
  <c r="N76" i="2"/>
  <c r="M76" i="2"/>
  <c r="L76" i="2"/>
  <c r="K76" i="2"/>
  <c r="J76" i="2"/>
  <c r="I76" i="2"/>
  <c r="H76" i="2"/>
  <c r="G76" i="2"/>
  <c r="F76" i="2"/>
  <c r="E76" i="2"/>
  <c r="D76" i="2"/>
  <c r="C76" i="2"/>
  <c r="AA75" i="2"/>
  <c r="Q75" i="2"/>
  <c r="AB75" i="2" s="1"/>
  <c r="AA74" i="2"/>
  <c r="AA76" i="2" s="1"/>
  <c r="Q74" i="2"/>
  <c r="AB74" i="2" s="1"/>
  <c r="AB76" i="2" s="1"/>
  <c r="U77" i="1"/>
  <c r="T77" i="1"/>
  <c r="S77" i="1"/>
  <c r="R77" i="1"/>
  <c r="P77" i="1"/>
  <c r="O77" i="1"/>
  <c r="N77" i="1"/>
  <c r="M77" i="1"/>
  <c r="L77" i="1"/>
  <c r="J77" i="1"/>
  <c r="I77" i="1"/>
  <c r="H77" i="1"/>
  <c r="G77" i="1"/>
  <c r="F77" i="1"/>
  <c r="E77" i="1"/>
  <c r="D77" i="1"/>
  <c r="C77" i="1"/>
  <c r="U76" i="1"/>
  <c r="K76" i="1"/>
  <c r="Q76" i="1" s="1"/>
  <c r="V76" i="1" s="1"/>
  <c r="U75" i="1"/>
  <c r="K75" i="1"/>
  <c r="K77" i="1" s="1"/>
  <c r="P23" i="4"/>
  <c r="P6" i="4"/>
  <c r="L17" i="4"/>
  <c r="L23" i="4" s="1"/>
  <c r="K17" i="4"/>
  <c r="K23" i="4" s="1"/>
  <c r="L6" i="4"/>
  <c r="K6" i="4"/>
  <c r="Z36" i="4"/>
  <c r="Z37" i="4"/>
  <c r="Z38" i="4"/>
  <c r="Z39" i="4"/>
  <c r="Z40" i="4"/>
  <c r="Z41" i="4"/>
  <c r="Z35" i="4"/>
  <c r="G23" i="4"/>
  <c r="F23" i="4"/>
  <c r="G6" i="4"/>
  <c r="F6" i="4"/>
  <c r="Q23" i="4"/>
  <c r="Q6" i="4"/>
  <c r="H75" i="7" l="1"/>
  <c r="C77" i="5"/>
  <c r="G77" i="5" s="1"/>
  <c r="K77" i="5" s="1"/>
  <c r="G75" i="5"/>
  <c r="K75" i="5" s="1"/>
  <c r="O75" i="5" s="1"/>
  <c r="L77" i="5"/>
  <c r="N77" i="5" s="1"/>
  <c r="K76" i="5"/>
  <c r="O76" i="5" s="1"/>
  <c r="Q75" i="1"/>
  <c r="J79" i="2"/>
  <c r="K79" i="2"/>
  <c r="L79" i="2"/>
  <c r="M79" i="2"/>
  <c r="N79" i="2"/>
  <c r="O79" i="2"/>
  <c r="P79" i="2"/>
  <c r="R79" i="2"/>
  <c r="S79" i="2"/>
  <c r="T79" i="2"/>
  <c r="Z34" i="4"/>
  <c r="Z33" i="4"/>
  <c r="Z32" i="4"/>
  <c r="Z31" i="4"/>
  <c r="Z30" i="4"/>
  <c r="Z29" i="4"/>
  <c r="Z28" i="4"/>
  <c r="Z27" i="4"/>
  <c r="Z26" i="4"/>
  <c r="Z25" i="4"/>
  <c r="Z24" i="4"/>
  <c r="Y23" i="4"/>
  <c r="X23" i="4"/>
  <c r="W23" i="4"/>
  <c r="R23" i="4"/>
  <c r="O23" i="4"/>
  <c r="N23" i="4"/>
  <c r="M23" i="4"/>
  <c r="J23" i="4"/>
  <c r="I23" i="4"/>
  <c r="H23" i="4"/>
  <c r="E23" i="4"/>
  <c r="D23" i="4"/>
  <c r="C23" i="4"/>
  <c r="B23" i="4"/>
  <c r="Z22" i="4"/>
  <c r="Z21" i="4"/>
  <c r="Z20" i="4"/>
  <c r="Z19" i="4"/>
  <c r="Z18" i="4"/>
  <c r="Z16" i="4"/>
  <c r="Z15" i="4"/>
  <c r="Z14" i="4"/>
  <c r="Z13" i="4"/>
  <c r="Z12" i="4"/>
  <c r="Z11" i="4"/>
  <c r="Z10" i="4"/>
  <c r="Z9" i="4"/>
  <c r="Z8" i="4"/>
  <c r="Y6" i="4"/>
  <c r="X6" i="4"/>
  <c r="W6" i="4"/>
  <c r="V6" i="4"/>
  <c r="U6" i="4"/>
  <c r="T6" i="4"/>
  <c r="S6" i="4"/>
  <c r="R6" i="4"/>
  <c r="O6" i="4"/>
  <c r="N6" i="4"/>
  <c r="M6" i="4"/>
  <c r="J6" i="4"/>
  <c r="I6" i="4"/>
  <c r="H6" i="4"/>
  <c r="E6" i="4"/>
  <c r="D6" i="4"/>
  <c r="B6" i="4"/>
  <c r="Z5" i="4"/>
  <c r="C4" i="4"/>
  <c r="Z4" i="4" s="1"/>
  <c r="O77" i="5" l="1"/>
  <c r="Q77" i="1"/>
  <c r="V75" i="1"/>
  <c r="V77" i="1" s="1"/>
  <c r="C6" i="4"/>
  <c r="Z6" i="4" s="1"/>
  <c r="Z17" i="4"/>
  <c r="E62" i="8" l="1"/>
  <c r="E63" i="8" l="1"/>
  <c r="E61" i="8"/>
  <c r="H78" i="7"/>
  <c r="G78" i="7"/>
  <c r="F78" i="7"/>
  <c r="E78" i="7"/>
  <c r="D78" i="7"/>
  <c r="C78" i="7"/>
  <c r="I77" i="7"/>
  <c r="I76" i="7"/>
  <c r="D78" i="6"/>
  <c r="C78" i="6"/>
  <c r="E77" i="6"/>
  <c r="E76" i="6"/>
  <c r="M80" i="5"/>
  <c r="L80" i="5"/>
  <c r="N80" i="5" s="1"/>
  <c r="I80" i="5"/>
  <c r="H80" i="5"/>
  <c r="J80" i="5" s="1"/>
  <c r="F80" i="5"/>
  <c r="E80" i="5"/>
  <c r="D80" i="5"/>
  <c r="C80" i="5"/>
  <c r="N79" i="5"/>
  <c r="J79" i="5"/>
  <c r="G79" i="5"/>
  <c r="N78" i="5"/>
  <c r="J78" i="5"/>
  <c r="G78" i="5"/>
  <c r="F78" i="3"/>
  <c r="D78" i="3"/>
  <c r="C78" i="3"/>
  <c r="E77" i="3"/>
  <c r="G77" i="3" s="1"/>
  <c r="E76" i="3"/>
  <c r="G76" i="3" s="1"/>
  <c r="Z79" i="2"/>
  <c r="Y79" i="2"/>
  <c r="X79" i="2"/>
  <c r="W79" i="2"/>
  <c r="V79" i="2"/>
  <c r="U79" i="2"/>
  <c r="I79" i="2"/>
  <c r="H79" i="2"/>
  <c r="G79" i="2"/>
  <c r="F79" i="2"/>
  <c r="E79" i="2"/>
  <c r="D79" i="2"/>
  <c r="C79" i="2"/>
  <c r="AA78" i="2"/>
  <c r="Q78" i="2"/>
  <c r="AA77" i="2"/>
  <c r="Q77" i="2"/>
  <c r="T80" i="1"/>
  <c r="S80" i="1"/>
  <c r="R80" i="1"/>
  <c r="P80" i="1"/>
  <c r="O80" i="1"/>
  <c r="N80" i="1"/>
  <c r="M80" i="1"/>
  <c r="L80" i="1"/>
  <c r="K80" i="1"/>
  <c r="J80" i="1"/>
  <c r="I80" i="1"/>
  <c r="H80" i="1"/>
  <c r="G80" i="1"/>
  <c r="F80" i="1"/>
  <c r="E80" i="1"/>
  <c r="D80" i="1"/>
  <c r="C80" i="1"/>
  <c r="U79" i="1"/>
  <c r="Q79" i="1"/>
  <c r="U78" i="1"/>
  <c r="Q78" i="1"/>
  <c r="Q72" i="2"/>
  <c r="Q79" i="2" l="1"/>
  <c r="K79" i="5"/>
  <c r="O79" i="5" s="1"/>
  <c r="K78" i="5"/>
  <c r="O78" i="5" s="1"/>
  <c r="V78" i="1"/>
  <c r="I78" i="7"/>
  <c r="E78" i="6"/>
  <c r="E78" i="3"/>
  <c r="G78" i="3" s="1"/>
  <c r="AA79" i="2"/>
  <c r="AB78" i="2"/>
  <c r="V79" i="1"/>
  <c r="U80" i="1"/>
  <c r="G80" i="5"/>
  <c r="K80" i="5" s="1"/>
  <c r="O80" i="5" s="1"/>
  <c r="AB77" i="2"/>
  <c r="Q80" i="1"/>
  <c r="M74" i="5"/>
  <c r="L74" i="5"/>
  <c r="N74" i="5" s="1"/>
  <c r="I74" i="5"/>
  <c r="H74" i="5"/>
  <c r="F74" i="5"/>
  <c r="E74" i="5"/>
  <c r="D74" i="5"/>
  <c r="C74" i="5"/>
  <c r="N73" i="5"/>
  <c r="J73" i="5"/>
  <c r="G73" i="5"/>
  <c r="N72" i="5"/>
  <c r="J72" i="5"/>
  <c r="G72" i="5"/>
  <c r="K72" i="5" s="1"/>
  <c r="V80" i="1" l="1"/>
  <c r="AB79" i="2"/>
  <c r="J74" i="5"/>
  <c r="O72" i="5"/>
  <c r="G74" i="5"/>
  <c r="K73" i="5"/>
  <c r="O73" i="5" s="1"/>
  <c r="E57" i="8"/>
  <c r="E56" i="8"/>
  <c r="E55" i="8"/>
  <c r="H72" i="7"/>
  <c r="G72" i="7"/>
  <c r="F72" i="7"/>
  <c r="E72" i="7"/>
  <c r="D72" i="7"/>
  <c r="C72" i="7"/>
  <c r="I71" i="7"/>
  <c r="I70" i="7"/>
  <c r="D72" i="6"/>
  <c r="C72" i="6"/>
  <c r="E71" i="6"/>
  <c r="E70" i="6"/>
  <c r="F72" i="3"/>
  <c r="D72" i="3"/>
  <c r="C72" i="3"/>
  <c r="E71" i="3"/>
  <c r="G71" i="3" s="1"/>
  <c r="E70" i="3"/>
  <c r="G70" i="3" s="1"/>
  <c r="E72" i="3" l="1"/>
  <c r="G72" i="3" s="1"/>
  <c r="K74" i="5"/>
  <c r="O74" i="5" s="1"/>
  <c r="I72" i="7"/>
  <c r="E72" i="6"/>
  <c r="Z73" i="2"/>
  <c r="Y73" i="2"/>
  <c r="X73" i="2"/>
  <c r="W73" i="2"/>
  <c r="V73" i="2"/>
  <c r="U73" i="2"/>
  <c r="T73" i="2"/>
  <c r="S73" i="2"/>
  <c r="R73" i="2"/>
  <c r="O73" i="2"/>
  <c r="N73" i="2"/>
  <c r="M73" i="2"/>
  <c r="L73" i="2"/>
  <c r="K73" i="2"/>
  <c r="I73" i="2"/>
  <c r="H73" i="2"/>
  <c r="G73" i="2"/>
  <c r="F73" i="2"/>
  <c r="E73" i="2"/>
  <c r="D73" i="2"/>
  <c r="C73" i="2"/>
  <c r="AA72" i="2"/>
  <c r="AA71" i="2"/>
  <c r="Q71" i="2"/>
  <c r="AB72" i="2" l="1"/>
  <c r="Q73" i="2"/>
  <c r="AA73" i="2"/>
  <c r="AB71" i="2"/>
  <c r="AB73" i="2" l="1"/>
  <c r="T74" i="1"/>
  <c r="S74" i="1"/>
  <c r="R74" i="1"/>
  <c r="P74" i="1"/>
  <c r="O74" i="1"/>
  <c r="N74" i="1"/>
  <c r="M74" i="1"/>
  <c r="L74" i="1"/>
  <c r="K74" i="1"/>
  <c r="J74" i="1"/>
  <c r="I74" i="1"/>
  <c r="H74" i="1"/>
  <c r="G74" i="1"/>
  <c r="F74" i="1"/>
  <c r="E74" i="1"/>
  <c r="D74" i="1"/>
  <c r="C74" i="1"/>
  <c r="U73" i="1"/>
  <c r="Q73" i="1"/>
  <c r="V73" i="1" s="1"/>
  <c r="U72" i="1"/>
  <c r="U74" i="1" s="1"/>
  <c r="Q72" i="1"/>
  <c r="Q74" i="1" l="1"/>
  <c r="V72" i="1"/>
  <c r="V74" i="1" s="1"/>
  <c r="U64" i="1"/>
  <c r="Q64" i="1"/>
  <c r="V64" i="1" s="1"/>
  <c r="U63" i="1"/>
  <c r="Q63" i="1"/>
  <c r="V63" i="1" s="1"/>
  <c r="N70" i="5" l="1"/>
  <c r="J70" i="5"/>
  <c r="G70" i="5"/>
  <c r="K70" i="5" s="1"/>
  <c r="O70" i="5" l="1"/>
  <c r="M71" i="5"/>
  <c r="L71" i="5"/>
  <c r="I71" i="5"/>
  <c r="H71" i="5"/>
  <c r="F71" i="5"/>
  <c r="E71" i="5"/>
  <c r="D71" i="5"/>
  <c r="C71" i="5"/>
  <c r="N69" i="5"/>
  <c r="J69" i="5"/>
  <c r="G69" i="5"/>
  <c r="N71" i="5" l="1"/>
  <c r="G71" i="5"/>
  <c r="J71" i="5"/>
  <c r="K69" i="5"/>
  <c r="O69" i="5" s="1"/>
  <c r="E54" i="8"/>
  <c r="E53" i="8"/>
  <c r="E52" i="8"/>
  <c r="H69" i="7"/>
  <c r="G69" i="7"/>
  <c r="F69" i="7"/>
  <c r="E69" i="7"/>
  <c r="D69" i="7"/>
  <c r="C69" i="7"/>
  <c r="I68" i="7"/>
  <c r="I67" i="7"/>
  <c r="D69" i="6"/>
  <c r="C69" i="6"/>
  <c r="E68" i="6"/>
  <c r="E67" i="6"/>
  <c r="F69" i="3"/>
  <c r="D69" i="3"/>
  <c r="C69" i="3"/>
  <c r="E68" i="3"/>
  <c r="G68" i="3" s="1"/>
  <c r="E67" i="3"/>
  <c r="G67" i="3" s="1"/>
  <c r="Z70" i="2"/>
  <c r="Y70" i="2"/>
  <c r="X70" i="2"/>
  <c r="W70" i="2"/>
  <c r="V70" i="2"/>
  <c r="U70" i="2"/>
  <c r="T70" i="2"/>
  <c r="S70" i="2"/>
  <c r="R70" i="2"/>
  <c r="O70" i="2"/>
  <c r="N70" i="2"/>
  <c r="M70" i="2"/>
  <c r="L70" i="2"/>
  <c r="K70" i="2"/>
  <c r="I70" i="2"/>
  <c r="H70" i="2"/>
  <c r="G70" i="2"/>
  <c r="F70" i="2"/>
  <c r="E70" i="2"/>
  <c r="D70" i="2"/>
  <c r="C70" i="2"/>
  <c r="AA69" i="2"/>
  <c r="Q69" i="2"/>
  <c r="AA68" i="2"/>
  <c r="Q68" i="2"/>
  <c r="I69" i="7" l="1"/>
  <c r="E69" i="3"/>
  <c r="G69" i="3" s="1"/>
  <c r="K71" i="5"/>
  <c r="O71" i="5" s="1"/>
  <c r="E69" i="6"/>
  <c r="AB69" i="2"/>
  <c r="Q70" i="2"/>
  <c r="AA70" i="2"/>
  <c r="AB68" i="2"/>
  <c r="T71" i="1"/>
  <c r="S71" i="1"/>
  <c r="R71" i="1"/>
  <c r="P71" i="1"/>
  <c r="O71" i="1"/>
  <c r="N71" i="1"/>
  <c r="M71" i="1"/>
  <c r="L71" i="1"/>
  <c r="K71" i="1"/>
  <c r="J71" i="1"/>
  <c r="I71" i="1"/>
  <c r="H71" i="1"/>
  <c r="G71" i="1"/>
  <c r="F71" i="1"/>
  <c r="E71" i="1"/>
  <c r="D71" i="1"/>
  <c r="C71" i="1"/>
  <c r="U70" i="1"/>
  <c r="Q70" i="1"/>
  <c r="U69" i="1"/>
  <c r="Q69" i="1"/>
  <c r="V69" i="1" s="1"/>
  <c r="AB70" i="2" l="1"/>
  <c r="V70" i="1"/>
  <c r="V71" i="1" s="1"/>
  <c r="Q71" i="1"/>
  <c r="U71" i="1"/>
  <c r="M68" i="5" l="1"/>
  <c r="L68" i="5"/>
  <c r="I68" i="5"/>
  <c r="H68" i="5"/>
  <c r="F68" i="5"/>
  <c r="E68" i="5"/>
  <c r="D68" i="5"/>
  <c r="C68" i="5"/>
  <c r="N67" i="5"/>
  <c r="J67" i="5"/>
  <c r="G67" i="5"/>
  <c r="K67" i="5" s="1"/>
  <c r="N66" i="5"/>
  <c r="J66" i="5"/>
  <c r="G66" i="5"/>
  <c r="J68" i="5" l="1"/>
  <c r="N68" i="5"/>
  <c r="K66" i="5"/>
  <c r="O66" i="5" s="1"/>
  <c r="O67" i="5"/>
  <c r="G68" i="5"/>
  <c r="K68" i="5" s="1"/>
  <c r="O68" i="5" s="1"/>
  <c r="Z67" i="2"/>
  <c r="Y67" i="2"/>
  <c r="X67" i="2"/>
  <c r="W67" i="2"/>
  <c r="V67" i="2"/>
  <c r="U67" i="2"/>
  <c r="T67" i="2"/>
  <c r="S67" i="2"/>
  <c r="R67" i="2"/>
  <c r="O67" i="2"/>
  <c r="N67" i="2"/>
  <c r="M67" i="2"/>
  <c r="L67" i="2"/>
  <c r="K67" i="2"/>
  <c r="I67" i="2"/>
  <c r="H67" i="2"/>
  <c r="G67" i="2"/>
  <c r="F67" i="2"/>
  <c r="E67" i="2"/>
  <c r="D67" i="2"/>
  <c r="C67" i="2"/>
  <c r="AA66" i="2"/>
  <c r="Q66" i="2"/>
  <c r="AA65" i="2"/>
  <c r="Q65" i="2"/>
  <c r="AA67" i="2" l="1"/>
  <c r="AB66" i="2"/>
  <c r="Q67" i="2"/>
  <c r="AB65" i="2"/>
  <c r="AB67" i="2" s="1"/>
  <c r="E51" i="8" l="1"/>
  <c r="E50" i="8"/>
  <c r="E49" i="8"/>
  <c r="H66" i="7"/>
  <c r="G66" i="7"/>
  <c r="F66" i="7"/>
  <c r="E66" i="7"/>
  <c r="D66" i="7"/>
  <c r="C66" i="7"/>
  <c r="I65" i="7"/>
  <c r="I64" i="7"/>
  <c r="I66" i="7" s="1"/>
  <c r="D66" i="6"/>
  <c r="C66" i="6"/>
  <c r="E65" i="6"/>
  <c r="E64" i="6"/>
  <c r="E66" i="6" l="1"/>
  <c r="F66" i="3"/>
  <c r="D66" i="3"/>
  <c r="C66" i="3"/>
  <c r="E65" i="3"/>
  <c r="G65" i="3" s="1"/>
  <c r="E64" i="3"/>
  <c r="G64" i="3" s="1"/>
  <c r="E66" i="3" l="1"/>
  <c r="G66" i="3" s="1"/>
  <c r="T68" i="1" l="1"/>
  <c r="S68" i="1"/>
  <c r="R68" i="1"/>
  <c r="P68" i="1"/>
  <c r="O68" i="1"/>
  <c r="N68" i="1"/>
  <c r="M68" i="1"/>
  <c r="L68" i="1"/>
  <c r="K68" i="1"/>
  <c r="J68" i="1"/>
  <c r="I68" i="1"/>
  <c r="H68" i="1"/>
  <c r="G68" i="1"/>
  <c r="F68" i="1"/>
  <c r="E68" i="1"/>
  <c r="D68" i="1"/>
  <c r="C68" i="1"/>
  <c r="U67" i="1"/>
  <c r="Q67" i="1"/>
  <c r="U66" i="1"/>
  <c r="Q66" i="1"/>
  <c r="V66" i="1" l="1"/>
  <c r="V67" i="1"/>
  <c r="Q68" i="1"/>
  <c r="U68" i="1"/>
  <c r="V68" i="1" l="1"/>
  <c r="M65" i="5"/>
  <c r="L65" i="5"/>
  <c r="I65" i="5"/>
  <c r="H65" i="5"/>
  <c r="F65" i="5"/>
  <c r="E65" i="5"/>
  <c r="D65" i="5"/>
  <c r="C65" i="5"/>
  <c r="N64" i="5"/>
  <c r="J64" i="5"/>
  <c r="G64" i="5"/>
  <c r="N63" i="5"/>
  <c r="J63" i="5"/>
  <c r="G63" i="5"/>
  <c r="K64" i="5" l="1"/>
  <c r="O64" i="5" s="1"/>
  <c r="N65" i="5"/>
  <c r="J65" i="5"/>
  <c r="G65" i="5"/>
  <c r="K63" i="5"/>
  <c r="O63" i="5" s="1"/>
  <c r="T62" i="1"/>
  <c r="T59" i="1"/>
  <c r="T56" i="1"/>
  <c r="T65" i="1"/>
  <c r="K65" i="5" l="1"/>
  <c r="O65" i="5" s="1"/>
  <c r="S65" i="1"/>
  <c r="R65" i="1"/>
  <c r="P65" i="1"/>
  <c r="O65" i="1"/>
  <c r="N65" i="1"/>
  <c r="M65" i="1"/>
  <c r="L65" i="1"/>
  <c r="K65" i="1"/>
  <c r="J65" i="1"/>
  <c r="I65" i="1"/>
  <c r="H65" i="1"/>
  <c r="G65" i="1"/>
  <c r="F65" i="1"/>
  <c r="E65" i="1"/>
  <c r="D65" i="1"/>
  <c r="C65" i="1"/>
  <c r="Q65" i="1" l="1"/>
  <c r="U65" i="1"/>
  <c r="H63" i="7"/>
  <c r="G63" i="7"/>
  <c r="F63" i="7"/>
  <c r="E63" i="7"/>
  <c r="D63" i="7"/>
  <c r="C63" i="7"/>
  <c r="I62" i="7"/>
  <c r="I61" i="7"/>
  <c r="I63" i="7" l="1"/>
  <c r="V65" i="1"/>
  <c r="E48" i="8"/>
  <c r="E47" i="8"/>
  <c r="E46" i="8"/>
  <c r="D63" i="6"/>
  <c r="C63" i="6"/>
  <c r="E62" i="6"/>
  <c r="E61" i="6"/>
  <c r="E63" i="6" l="1"/>
  <c r="F63" i="3" l="1"/>
  <c r="D63" i="3"/>
  <c r="C63" i="3"/>
  <c r="E62" i="3"/>
  <c r="G62" i="3" s="1"/>
  <c r="E61" i="3"/>
  <c r="G61" i="3" s="1"/>
  <c r="E63" i="3" l="1"/>
  <c r="G63" i="3" s="1"/>
  <c r="AA63" i="2"/>
  <c r="Z64" i="2" l="1"/>
  <c r="Y64" i="2"/>
  <c r="X64" i="2"/>
  <c r="W64" i="2"/>
  <c r="V64" i="2"/>
  <c r="U64" i="2"/>
  <c r="T64" i="2"/>
  <c r="S64" i="2"/>
  <c r="R64" i="2"/>
  <c r="O64" i="2"/>
  <c r="N64" i="2"/>
  <c r="M64" i="2"/>
  <c r="L64" i="2"/>
  <c r="K64" i="2"/>
  <c r="I64" i="2"/>
  <c r="H64" i="2"/>
  <c r="G64" i="2"/>
  <c r="F64" i="2"/>
  <c r="E64" i="2"/>
  <c r="D64" i="2"/>
  <c r="C64" i="2"/>
  <c r="Q63" i="2"/>
  <c r="AB63" i="2" s="1"/>
  <c r="AA62" i="2"/>
  <c r="AA64" i="2" s="1"/>
  <c r="Q62" i="2"/>
  <c r="Q64" i="2" l="1"/>
  <c r="AB62" i="2"/>
  <c r="AB64" i="2" s="1"/>
  <c r="U60" i="1"/>
  <c r="U57" i="1"/>
  <c r="U54" i="1"/>
  <c r="M62" i="5"/>
  <c r="L62" i="5"/>
  <c r="N62" i="5" s="1"/>
  <c r="I62" i="5"/>
  <c r="H62" i="5"/>
  <c r="F62" i="5"/>
  <c r="E62" i="5"/>
  <c r="D62" i="5"/>
  <c r="G62" i="5" s="1"/>
  <c r="C62" i="5"/>
  <c r="N61" i="5"/>
  <c r="J61" i="5"/>
  <c r="G61" i="5"/>
  <c r="N60" i="5"/>
  <c r="J60" i="5"/>
  <c r="G60" i="5"/>
  <c r="K60" i="5"/>
  <c r="O60" i="5" s="1"/>
  <c r="E45" i="8"/>
  <c r="E44" i="8"/>
  <c r="E43" i="8"/>
  <c r="H60" i="7"/>
  <c r="G60" i="7"/>
  <c r="F60" i="7"/>
  <c r="E60" i="7"/>
  <c r="D60" i="7"/>
  <c r="C60" i="7"/>
  <c r="I59" i="7"/>
  <c r="I58" i="7"/>
  <c r="I60" i="7" s="1"/>
  <c r="H57" i="7"/>
  <c r="G57" i="7"/>
  <c r="F57" i="7"/>
  <c r="E57" i="7"/>
  <c r="D57" i="7"/>
  <c r="C57" i="7"/>
  <c r="I56" i="7"/>
  <c r="I55" i="7"/>
  <c r="H54" i="7"/>
  <c r="G54" i="7"/>
  <c r="F54" i="7"/>
  <c r="E54" i="7"/>
  <c r="D54" i="7"/>
  <c r="C54" i="7"/>
  <c r="I53" i="7"/>
  <c r="I52" i="7"/>
  <c r="H51" i="7"/>
  <c r="G51" i="7"/>
  <c r="F51" i="7"/>
  <c r="E51" i="7"/>
  <c r="D51" i="7"/>
  <c r="C51" i="7"/>
  <c r="I50" i="7"/>
  <c r="I49" i="7"/>
  <c r="H48" i="7"/>
  <c r="G48" i="7"/>
  <c r="F48" i="7"/>
  <c r="E48" i="7"/>
  <c r="D48" i="7"/>
  <c r="C48" i="7"/>
  <c r="I47" i="7"/>
  <c r="I46" i="7"/>
  <c r="H45" i="7"/>
  <c r="G45" i="7"/>
  <c r="F45" i="7"/>
  <c r="E45" i="7"/>
  <c r="D45" i="7"/>
  <c r="C45" i="7"/>
  <c r="I44" i="7"/>
  <c r="I43" i="7"/>
  <c r="I45" i="7" s="1"/>
  <c r="H42" i="7"/>
  <c r="G42" i="7"/>
  <c r="F42" i="7"/>
  <c r="E42" i="7"/>
  <c r="D42" i="7"/>
  <c r="C42" i="7"/>
  <c r="I41" i="7"/>
  <c r="I40" i="7"/>
  <c r="H39" i="7"/>
  <c r="G39" i="7"/>
  <c r="F39" i="7"/>
  <c r="E39" i="7"/>
  <c r="D39" i="7"/>
  <c r="C39" i="7"/>
  <c r="I38" i="7"/>
  <c r="I37" i="7"/>
  <c r="I39" i="7"/>
  <c r="H36" i="7"/>
  <c r="G36" i="7"/>
  <c r="F36" i="7"/>
  <c r="E36" i="7"/>
  <c r="D36" i="7"/>
  <c r="C36" i="7"/>
  <c r="I35" i="7"/>
  <c r="I34" i="7"/>
  <c r="I36" i="7" s="1"/>
  <c r="H33" i="7"/>
  <c r="G33" i="7"/>
  <c r="F33" i="7"/>
  <c r="E33" i="7"/>
  <c r="D33" i="7"/>
  <c r="C33" i="7"/>
  <c r="I32" i="7"/>
  <c r="I31" i="7"/>
  <c r="H30" i="7"/>
  <c r="G30" i="7"/>
  <c r="F30" i="7"/>
  <c r="E30" i="7"/>
  <c r="D30" i="7"/>
  <c r="C30" i="7"/>
  <c r="I29" i="7"/>
  <c r="I28" i="7"/>
  <c r="H27" i="7"/>
  <c r="G27" i="7"/>
  <c r="F27" i="7"/>
  <c r="E27" i="7"/>
  <c r="C27" i="7"/>
  <c r="I26" i="7"/>
  <c r="D25" i="7"/>
  <c r="D27" i="7" s="1"/>
  <c r="H24" i="7"/>
  <c r="G24" i="7"/>
  <c r="F24" i="7"/>
  <c r="E24" i="7"/>
  <c r="C24" i="7"/>
  <c r="I23" i="7"/>
  <c r="D22" i="7"/>
  <c r="I22" i="7" s="1"/>
  <c r="G21" i="7"/>
  <c r="F21" i="7"/>
  <c r="E21" i="7"/>
  <c r="C21" i="7"/>
  <c r="I20" i="7"/>
  <c r="H19" i="7"/>
  <c r="D19" i="7" s="1"/>
  <c r="G18" i="7"/>
  <c r="F18" i="7"/>
  <c r="E18" i="7"/>
  <c r="C18" i="7"/>
  <c r="I17" i="7"/>
  <c r="H16" i="7"/>
  <c r="H18" i="7" s="1"/>
  <c r="D16" i="7"/>
  <c r="I16" i="7" s="1"/>
  <c r="I18" i="7" s="1"/>
  <c r="G15" i="7"/>
  <c r="F15" i="7"/>
  <c r="E15" i="7"/>
  <c r="D15" i="7"/>
  <c r="C15" i="7"/>
  <c r="I14" i="7"/>
  <c r="H13" i="7"/>
  <c r="H15" i="7" s="1"/>
  <c r="D13" i="7"/>
  <c r="I13" i="7" s="1"/>
  <c r="I15" i="7" s="1"/>
  <c r="G12" i="7"/>
  <c r="F12" i="7"/>
  <c r="E12" i="7"/>
  <c r="C12" i="7"/>
  <c r="I11" i="7"/>
  <c r="H10" i="7"/>
  <c r="H12" i="7" s="1"/>
  <c r="D10" i="7"/>
  <c r="G9" i="7"/>
  <c r="F9" i="7"/>
  <c r="E9" i="7"/>
  <c r="C9" i="7"/>
  <c r="I8" i="7"/>
  <c r="H7" i="7"/>
  <c r="D7" i="7"/>
  <c r="D9" i="7"/>
  <c r="G6" i="7"/>
  <c r="F6" i="7"/>
  <c r="E6" i="7"/>
  <c r="D6" i="7"/>
  <c r="C6" i="7"/>
  <c r="I5" i="7"/>
  <c r="H4" i="7"/>
  <c r="D60" i="6"/>
  <c r="C60" i="6"/>
  <c r="E60" i="6" s="1"/>
  <c r="E59" i="6"/>
  <c r="E58" i="6"/>
  <c r="F60" i="3"/>
  <c r="D60" i="3"/>
  <c r="C60" i="3"/>
  <c r="E60" i="3" s="1"/>
  <c r="G60" i="3" s="1"/>
  <c r="E59" i="3"/>
  <c r="G59" i="3" s="1"/>
  <c r="E58" i="3"/>
  <c r="G58" i="3" s="1"/>
  <c r="Z61" i="2"/>
  <c r="Y61" i="2"/>
  <c r="X61" i="2"/>
  <c r="W61" i="2"/>
  <c r="V61" i="2"/>
  <c r="U61" i="2"/>
  <c r="T61" i="2"/>
  <c r="S61" i="2"/>
  <c r="R61" i="2"/>
  <c r="O61" i="2"/>
  <c r="N61" i="2"/>
  <c r="M61" i="2"/>
  <c r="L61" i="2"/>
  <c r="K61" i="2"/>
  <c r="I61" i="2"/>
  <c r="H61" i="2"/>
  <c r="G61" i="2"/>
  <c r="F61" i="2"/>
  <c r="E61" i="2"/>
  <c r="D61" i="2"/>
  <c r="C61" i="2"/>
  <c r="Q60" i="2"/>
  <c r="AB60" i="2" s="1"/>
  <c r="AA59" i="2"/>
  <c r="AA61" i="2" s="1"/>
  <c r="Q59" i="2"/>
  <c r="S62" i="1"/>
  <c r="R62" i="1"/>
  <c r="P62" i="1"/>
  <c r="O62" i="1"/>
  <c r="N62" i="1"/>
  <c r="M62" i="1"/>
  <c r="L62" i="1"/>
  <c r="K62" i="1"/>
  <c r="J62" i="1"/>
  <c r="I62" i="1"/>
  <c r="H62" i="1"/>
  <c r="G62" i="1"/>
  <c r="F62" i="1"/>
  <c r="E62" i="1"/>
  <c r="D62" i="1"/>
  <c r="C62" i="1"/>
  <c r="U61" i="1"/>
  <c r="Q61" i="1"/>
  <c r="V61" i="1" s="1"/>
  <c r="Q60" i="1"/>
  <c r="V60" i="1" s="1"/>
  <c r="M59" i="5"/>
  <c r="L59" i="5"/>
  <c r="N59" i="5" s="1"/>
  <c r="I59" i="5"/>
  <c r="H59" i="5"/>
  <c r="J59" i="5" s="1"/>
  <c r="F59" i="5"/>
  <c r="E59" i="5"/>
  <c r="D59" i="5"/>
  <c r="G59" i="5" s="1"/>
  <c r="C59" i="5"/>
  <c r="N58" i="5"/>
  <c r="J58" i="5"/>
  <c r="G58" i="5"/>
  <c r="K58" i="5" s="1"/>
  <c r="O58" i="5" s="1"/>
  <c r="N57" i="5"/>
  <c r="J57" i="5"/>
  <c r="G57" i="5"/>
  <c r="K57" i="5" s="1"/>
  <c r="O57" i="5" s="1"/>
  <c r="D57" i="6"/>
  <c r="C57" i="6"/>
  <c r="E57" i="6"/>
  <c r="E56" i="6"/>
  <c r="E55" i="6"/>
  <c r="F57" i="3"/>
  <c r="D57" i="3"/>
  <c r="C57" i="3"/>
  <c r="E56" i="3"/>
  <c r="G56" i="3" s="1"/>
  <c r="E55" i="3"/>
  <c r="G55" i="3" s="1"/>
  <c r="Z58" i="2"/>
  <c r="Y58" i="2"/>
  <c r="X58" i="2"/>
  <c r="W58" i="2"/>
  <c r="V58" i="2"/>
  <c r="U58" i="2"/>
  <c r="T58" i="2"/>
  <c r="S58" i="2"/>
  <c r="R58" i="2"/>
  <c r="O58" i="2"/>
  <c r="N58" i="2"/>
  <c r="M58" i="2"/>
  <c r="L58" i="2"/>
  <c r="K58" i="2"/>
  <c r="I58" i="2"/>
  <c r="H58" i="2"/>
  <c r="G58" i="2"/>
  <c r="F58" i="2"/>
  <c r="E58" i="2"/>
  <c r="D58" i="2"/>
  <c r="C58" i="2"/>
  <c r="Q57" i="2"/>
  <c r="AB57" i="2" s="1"/>
  <c r="AA56" i="2"/>
  <c r="AA58" i="2" s="1"/>
  <c r="Q56" i="2"/>
  <c r="Q58" i="2"/>
  <c r="S59" i="1"/>
  <c r="R59" i="1"/>
  <c r="P59" i="1"/>
  <c r="O59" i="1"/>
  <c r="N59" i="1"/>
  <c r="M59" i="1"/>
  <c r="L59" i="1"/>
  <c r="K59" i="1"/>
  <c r="J59" i="1"/>
  <c r="I59" i="1"/>
  <c r="H59" i="1"/>
  <c r="G59" i="1"/>
  <c r="F59" i="1"/>
  <c r="E59" i="1"/>
  <c r="D59" i="1"/>
  <c r="C59" i="1"/>
  <c r="U58" i="1"/>
  <c r="U59" i="1" s="1"/>
  <c r="Q58" i="1"/>
  <c r="Q57" i="1"/>
  <c r="E42" i="8"/>
  <c r="E41" i="8"/>
  <c r="E40" i="8"/>
  <c r="E39" i="8"/>
  <c r="E38" i="8"/>
  <c r="E37" i="8"/>
  <c r="E36" i="8"/>
  <c r="E35" i="8"/>
  <c r="E34" i="8"/>
  <c r="E33" i="8"/>
  <c r="E32" i="8"/>
  <c r="E31" i="8"/>
  <c r="E30" i="8"/>
  <c r="E29" i="8"/>
  <c r="E28" i="8"/>
  <c r="E27" i="8"/>
  <c r="E26" i="8"/>
  <c r="E25" i="8"/>
  <c r="E24" i="8"/>
  <c r="E23" i="8"/>
  <c r="E22" i="8"/>
  <c r="E21" i="8"/>
  <c r="E20" i="8"/>
  <c r="E19" i="8"/>
  <c r="E18" i="8"/>
  <c r="E17" i="8"/>
  <c r="E16" i="8"/>
  <c r="E15" i="8"/>
  <c r="E14" i="8"/>
  <c r="E13" i="8"/>
  <c r="E12" i="8"/>
  <c r="E11" i="8"/>
  <c r="E10" i="8"/>
  <c r="E9" i="8"/>
  <c r="E8" i="8"/>
  <c r="E7" i="8"/>
  <c r="E6" i="8"/>
  <c r="E5" i="8"/>
  <c r="E4" i="8"/>
  <c r="I56" i="5"/>
  <c r="D54" i="6"/>
  <c r="C54" i="6"/>
  <c r="E53" i="6"/>
  <c r="E52" i="6"/>
  <c r="F54" i="3"/>
  <c r="E53" i="3"/>
  <c r="G53" i="3" s="1"/>
  <c r="D54" i="3"/>
  <c r="E54" i="3" s="1"/>
  <c r="C54" i="3"/>
  <c r="Z55" i="2"/>
  <c r="Y55" i="2"/>
  <c r="X55" i="2"/>
  <c r="W55" i="2"/>
  <c r="V55" i="2"/>
  <c r="U55" i="2"/>
  <c r="T55" i="2"/>
  <c r="S55" i="2"/>
  <c r="R55" i="2"/>
  <c r="O55" i="2"/>
  <c r="N55" i="2"/>
  <c r="M55" i="2"/>
  <c r="L55" i="2"/>
  <c r="K55" i="2"/>
  <c r="I55" i="2"/>
  <c r="H55" i="2"/>
  <c r="G55" i="2"/>
  <c r="F55" i="2"/>
  <c r="E55" i="2"/>
  <c r="D55" i="2"/>
  <c r="C55" i="2"/>
  <c r="AA54" i="2"/>
  <c r="Q54" i="2"/>
  <c r="AB54" i="2" s="1"/>
  <c r="AA53" i="2"/>
  <c r="Q53" i="2"/>
  <c r="S56" i="1"/>
  <c r="R56" i="1"/>
  <c r="P56" i="1"/>
  <c r="O56" i="1"/>
  <c r="N56" i="1"/>
  <c r="M56" i="1"/>
  <c r="L56" i="1"/>
  <c r="K56" i="1"/>
  <c r="J56" i="1"/>
  <c r="I56" i="1"/>
  <c r="H56" i="1"/>
  <c r="G56" i="1"/>
  <c r="F56" i="1"/>
  <c r="E56" i="1"/>
  <c r="D56" i="1"/>
  <c r="C56" i="1"/>
  <c r="U55" i="1"/>
  <c r="Q55" i="1"/>
  <c r="Q54" i="1"/>
  <c r="M56" i="5"/>
  <c r="L56" i="5"/>
  <c r="N56" i="5" s="1"/>
  <c r="H56" i="5"/>
  <c r="F56" i="5"/>
  <c r="E56" i="5"/>
  <c r="D56" i="5"/>
  <c r="C56" i="5"/>
  <c r="G56" i="5" s="1"/>
  <c r="N55" i="5"/>
  <c r="J55" i="5"/>
  <c r="G55" i="5"/>
  <c r="K55" i="5" s="1"/>
  <c r="O55" i="5" s="1"/>
  <c r="N54" i="5"/>
  <c r="J54" i="5"/>
  <c r="G54" i="5"/>
  <c r="K52" i="1"/>
  <c r="Q52" i="1" s="1"/>
  <c r="C50" i="3" s="1"/>
  <c r="H51" i="5"/>
  <c r="J51" i="5" s="1"/>
  <c r="L51" i="5"/>
  <c r="L53" i="5" s="1"/>
  <c r="D51" i="6"/>
  <c r="C51" i="6"/>
  <c r="E51" i="6" s="1"/>
  <c r="E50" i="6"/>
  <c r="E49" i="6"/>
  <c r="F51" i="3"/>
  <c r="Z52" i="2"/>
  <c r="Y52" i="2"/>
  <c r="X52" i="2"/>
  <c r="W52" i="2"/>
  <c r="V52" i="2"/>
  <c r="U52" i="2"/>
  <c r="T52" i="2"/>
  <c r="S52" i="2"/>
  <c r="R52" i="2"/>
  <c r="O52" i="2"/>
  <c r="N52" i="2"/>
  <c r="M52" i="2"/>
  <c r="L52" i="2"/>
  <c r="K52" i="2"/>
  <c r="I52" i="2"/>
  <c r="H52" i="2"/>
  <c r="G52" i="2"/>
  <c r="F52" i="2"/>
  <c r="E52" i="2"/>
  <c r="D52" i="2"/>
  <c r="C52" i="2"/>
  <c r="AA51" i="2"/>
  <c r="Q51" i="2"/>
  <c r="D50" i="3" s="1"/>
  <c r="AA50" i="2"/>
  <c r="AA52" i="2" s="1"/>
  <c r="Q50" i="2"/>
  <c r="D49" i="3" s="1"/>
  <c r="D51" i="3" s="1"/>
  <c r="S53" i="1"/>
  <c r="R53" i="1"/>
  <c r="P53" i="1"/>
  <c r="O53" i="1"/>
  <c r="N53" i="1"/>
  <c r="M53" i="1"/>
  <c r="L53" i="1"/>
  <c r="J53" i="1"/>
  <c r="I53" i="1"/>
  <c r="H53" i="1"/>
  <c r="G53" i="1"/>
  <c r="F53" i="1"/>
  <c r="E53" i="1"/>
  <c r="D53" i="1"/>
  <c r="C53" i="1"/>
  <c r="U52" i="1"/>
  <c r="U51" i="1"/>
  <c r="M53" i="5"/>
  <c r="I53" i="5"/>
  <c r="F53" i="5"/>
  <c r="E53" i="5"/>
  <c r="D53" i="5"/>
  <c r="C53" i="5"/>
  <c r="G53" i="5" s="1"/>
  <c r="N52" i="5"/>
  <c r="J52" i="5"/>
  <c r="G52" i="5"/>
  <c r="K52" i="5" s="1"/>
  <c r="G51" i="5"/>
  <c r="R45" i="1"/>
  <c r="X49" i="2"/>
  <c r="X46" i="2"/>
  <c r="X43" i="2"/>
  <c r="X40" i="2"/>
  <c r="X37" i="2"/>
  <c r="X34" i="2"/>
  <c r="X31" i="2"/>
  <c r="X28" i="2"/>
  <c r="X25" i="2"/>
  <c r="X22" i="2"/>
  <c r="X19" i="2"/>
  <c r="X16" i="2"/>
  <c r="X13" i="2"/>
  <c r="X10" i="2"/>
  <c r="X7" i="2"/>
  <c r="W7" i="2"/>
  <c r="J45" i="1"/>
  <c r="J47" i="1" s="1"/>
  <c r="C50" i="5"/>
  <c r="D50" i="5"/>
  <c r="E50" i="5"/>
  <c r="F50" i="5"/>
  <c r="H50" i="5"/>
  <c r="I50" i="5"/>
  <c r="L50" i="5"/>
  <c r="M50" i="5"/>
  <c r="N50" i="5" s="1"/>
  <c r="G49" i="5"/>
  <c r="K49" i="5" s="1"/>
  <c r="J49" i="5"/>
  <c r="N49" i="5"/>
  <c r="G48" i="5"/>
  <c r="J48" i="5"/>
  <c r="N48" i="5"/>
  <c r="D48" i="6"/>
  <c r="C48" i="6"/>
  <c r="E48" i="6" s="1"/>
  <c r="E47" i="6"/>
  <c r="E46" i="6"/>
  <c r="F48" i="3"/>
  <c r="Z49" i="2"/>
  <c r="Y49" i="2"/>
  <c r="W49" i="2"/>
  <c r="V49" i="2"/>
  <c r="U49" i="2"/>
  <c r="T49" i="2"/>
  <c r="S49" i="2"/>
  <c r="R49" i="2"/>
  <c r="O49" i="2"/>
  <c r="N49" i="2"/>
  <c r="M49" i="2"/>
  <c r="L49" i="2"/>
  <c r="K49" i="2"/>
  <c r="I49" i="2"/>
  <c r="H49" i="2"/>
  <c r="G49" i="2"/>
  <c r="F49" i="2"/>
  <c r="E49" i="2"/>
  <c r="D49" i="2"/>
  <c r="C49" i="2"/>
  <c r="AA48" i="2"/>
  <c r="Q48" i="2"/>
  <c r="D47" i="3" s="1"/>
  <c r="AA47" i="2"/>
  <c r="AA49" i="2" s="1"/>
  <c r="Q47" i="2"/>
  <c r="D46" i="3" s="1"/>
  <c r="D48" i="3" s="1"/>
  <c r="Q49" i="1"/>
  <c r="C47" i="3" s="1"/>
  <c r="E47" i="3" s="1"/>
  <c r="G47" i="3" s="1"/>
  <c r="S50" i="1"/>
  <c r="R50" i="1"/>
  <c r="P50" i="1"/>
  <c r="O50" i="1"/>
  <c r="N50" i="1"/>
  <c r="M50" i="1"/>
  <c r="L50" i="1"/>
  <c r="J50" i="1"/>
  <c r="I50" i="1"/>
  <c r="H50" i="1"/>
  <c r="G50" i="1"/>
  <c r="F50" i="1"/>
  <c r="E50" i="1"/>
  <c r="D50" i="1"/>
  <c r="C50" i="1"/>
  <c r="U49" i="1"/>
  <c r="U48" i="1"/>
  <c r="M47" i="5"/>
  <c r="L47" i="5"/>
  <c r="I47" i="5"/>
  <c r="H47" i="5"/>
  <c r="F47" i="5"/>
  <c r="E47" i="5"/>
  <c r="D47" i="5"/>
  <c r="C47" i="5"/>
  <c r="N46" i="5"/>
  <c r="J46" i="5"/>
  <c r="G46" i="5"/>
  <c r="K46" i="5" s="1"/>
  <c r="O46" i="5" s="1"/>
  <c r="N45" i="5"/>
  <c r="J45" i="5"/>
  <c r="G45" i="5"/>
  <c r="K45" i="5" s="1"/>
  <c r="O45" i="5" s="1"/>
  <c r="Q44" i="2"/>
  <c r="Q41" i="2"/>
  <c r="D40" i="3" s="1"/>
  <c r="D42" i="3" s="1"/>
  <c r="Z46" i="2"/>
  <c r="Y46" i="2"/>
  <c r="W46" i="2"/>
  <c r="V46" i="2"/>
  <c r="U46" i="2"/>
  <c r="T46" i="2"/>
  <c r="S46" i="2"/>
  <c r="R46" i="2"/>
  <c r="O46" i="2"/>
  <c r="N46" i="2"/>
  <c r="M46" i="2"/>
  <c r="L46" i="2"/>
  <c r="K46" i="2"/>
  <c r="I46" i="2"/>
  <c r="H46" i="2"/>
  <c r="G46" i="2"/>
  <c r="F46" i="2"/>
  <c r="E46" i="2"/>
  <c r="D46" i="2"/>
  <c r="C46" i="2"/>
  <c r="AA45" i="2"/>
  <c r="Q45" i="2"/>
  <c r="D44" i="3" s="1"/>
  <c r="AA44" i="2"/>
  <c r="F45" i="3"/>
  <c r="D45" i="6"/>
  <c r="C45" i="6"/>
  <c r="E45" i="6" s="1"/>
  <c r="E44" i="6"/>
  <c r="E43" i="6"/>
  <c r="K46" i="1"/>
  <c r="Q46" i="1" s="1"/>
  <c r="K45" i="1"/>
  <c r="S47" i="1"/>
  <c r="P47" i="1"/>
  <c r="O47" i="1"/>
  <c r="N47" i="1"/>
  <c r="M47" i="1"/>
  <c r="L47" i="1"/>
  <c r="I47" i="1"/>
  <c r="H47" i="1"/>
  <c r="G47" i="1"/>
  <c r="F47" i="1"/>
  <c r="E47" i="1"/>
  <c r="D47" i="1"/>
  <c r="C47" i="1"/>
  <c r="U46" i="1"/>
  <c r="N42" i="5"/>
  <c r="C44" i="5"/>
  <c r="D44" i="5"/>
  <c r="E44" i="5"/>
  <c r="F44" i="5"/>
  <c r="H44" i="5"/>
  <c r="I44" i="5"/>
  <c r="L44" i="5"/>
  <c r="M44" i="5"/>
  <c r="G43" i="5"/>
  <c r="J43" i="5"/>
  <c r="N43" i="5"/>
  <c r="G42" i="5"/>
  <c r="J42" i="5"/>
  <c r="K42" i="5"/>
  <c r="O42" i="5" s="1"/>
  <c r="C42" i="6"/>
  <c r="D42" i="6"/>
  <c r="E41" i="6"/>
  <c r="E40" i="6"/>
  <c r="Q42" i="2"/>
  <c r="D41" i="3" s="1"/>
  <c r="F42" i="3"/>
  <c r="AA41" i="2"/>
  <c r="AA42" i="2"/>
  <c r="AB42" i="2" s="1"/>
  <c r="Z43" i="2"/>
  <c r="Y43" i="2"/>
  <c r="W43" i="2"/>
  <c r="V43" i="2"/>
  <c r="U43" i="2"/>
  <c r="T43" i="2"/>
  <c r="S43" i="2"/>
  <c r="R43" i="2"/>
  <c r="O43" i="2"/>
  <c r="N43" i="2"/>
  <c r="M43" i="2"/>
  <c r="L43" i="2"/>
  <c r="K43" i="2"/>
  <c r="I43" i="2"/>
  <c r="H43" i="2"/>
  <c r="G43" i="2"/>
  <c r="F43" i="2"/>
  <c r="E43" i="2"/>
  <c r="D43" i="2"/>
  <c r="C43" i="2"/>
  <c r="K43" i="1"/>
  <c r="Q43" i="1" s="1"/>
  <c r="K42" i="1"/>
  <c r="Q42" i="1" s="1"/>
  <c r="U42" i="1"/>
  <c r="U43" i="1"/>
  <c r="S44" i="1"/>
  <c r="R44" i="1"/>
  <c r="P44" i="1"/>
  <c r="O44" i="1"/>
  <c r="N44" i="1"/>
  <c r="M44" i="1"/>
  <c r="L44" i="1"/>
  <c r="J44" i="1"/>
  <c r="I44" i="1"/>
  <c r="H44" i="1"/>
  <c r="G44" i="1"/>
  <c r="F44" i="1"/>
  <c r="E44" i="1"/>
  <c r="D44" i="1"/>
  <c r="C44" i="1"/>
  <c r="Q40" i="1"/>
  <c r="C38" i="3" s="1"/>
  <c r="F39" i="3"/>
  <c r="F36" i="3"/>
  <c r="F33" i="3"/>
  <c r="F30" i="3"/>
  <c r="F27" i="3"/>
  <c r="F24" i="3"/>
  <c r="F21" i="3"/>
  <c r="F18" i="3"/>
  <c r="F15" i="3"/>
  <c r="F12" i="3"/>
  <c r="F9" i="3"/>
  <c r="F6" i="3"/>
  <c r="H6" i="5"/>
  <c r="H8" i="5" s="1"/>
  <c r="J8" i="5" s="1"/>
  <c r="D15" i="6"/>
  <c r="C15" i="6"/>
  <c r="J34" i="2"/>
  <c r="J31" i="2"/>
  <c r="J28" i="2"/>
  <c r="J25" i="2"/>
  <c r="J22" i="2"/>
  <c r="J16" i="2"/>
  <c r="J19" i="2"/>
  <c r="J13" i="2"/>
  <c r="J10" i="2"/>
  <c r="J7" i="2"/>
  <c r="Q5" i="2"/>
  <c r="Q6" i="2"/>
  <c r="AB6" i="2" s="1"/>
  <c r="M41" i="5"/>
  <c r="L41" i="5"/>
  <c r="M38" i="5"/>
  <c r="L38" i="5"/>
  <c r="N38" i="5"/>
  <c r="M35" i="5"/>
  <c r="L35" i="5"/>
  <c r="M32" i="5"/>
  <c r="L32" i="5"/>
  <c r="N32" i="5" s="1"/>
  <c r="M29" i="5"/>
  <c r="L29" i="5"/>
  <c r="M26" i="5"/>
  <c r="L26" i="5"/>
  <c r="N26" i="5" s="1"/>
  <c r="M23" i="5"/>
  <c r="L23" i="5"/>
  <c r="N23" i="5" s="1"/>
  <c r="M20" i="5"/>
  <c r="L20" i="5"/>
  <c r="N20" i="5" s="1"/>
  <c r="M17" i="5"/>
  <c r="L17" i="5"/>
  <c r="M14" i="5"/>
  <c r="L14" i="5"/>
  <c r="N14" i="5"/>
  <c r="M11" i="5"/>
  <c r="L11" i="5"/>
  <c r="N11" i="5" s="1"/>
  <c r="M8" i="5"/>
  <c r="L8" i="5"/>
  <c r="I41" i="5"/>
  <c r="H41" i="5"/>
  <c r="J41" i="5" s="1"/>
  <c r="I38" i="5"/>
  <c r="H38" i="5"/>
  <c r="J38" i="5"/>
  <c r="I35" i="5"/>
  <c r="H35" i="5"/>
  <c r="I32" i="5"/>
  <c r="H32" i="5"/>
  <c r="J32" i="5" s="1"/>
  <c r="I29" i="5"/>
  <c r="H29" i="5"/>
  <c r="J29" i="5" s="1"/>
  <c r="I26" i="5"/>
  <c r="H26" i="5"/>
  <c r="I23" i="5"/>
  <c r="H23" i="5"/>
  <c r="J23" i="5" s="1"/>
  <c r="I20" i="5"/>
  <c r="H20" i="5"/>
  <c r="I17" i="5"/>
  <c r="H17" i="5"/>
  <c r="I14" i="5"/>
  <c r="H14" i="5"/>
  <c r="I11" i="5"/>
  <c r="H11" i="5"/>
  <c r="I8" i="5"/>
  <c r="J9" i="5"/>
  <c r="N9" i="5"/>
  <c r="J12" i="5"/>
  <c r="N12" i="5"/>
  <c r="J15" i="5"/>
  <c r="N15" i="5"/>
  <c r="J18" i="5"/>
  <c r="N18" i="5"/>
  <c r="J21" i="5"/>
  <c r="N21" i="5"/>
  <c r="N24" i="5"/>
  <c r="J24" i="5"/>
  <c r="N27" i="5"/>
  <c r="J27" i="5"/>
  <c r="N30" i="5"/>
  <c r="J30" i="5"/>
  <c r="N33" i="5"/>
  <c r="J33" i="5"/>
  <c r="N36" i="5"/>
  <c r="J36" i="5"/>
  <c r="K36" i="5" s="1"/>
  <c r="O36" i="5" s="1"/>
  <c r="N39" i="5"/>
  <c r="J39" i="5"/>
  <c r="E41" i="5"/>
  <c r="F41" i="5"/>
  <c r="D41" i="5"/>
  <c r="C41" i="5"/>
  <c r="E38" i="5"/>
  <c r="F38" i="5"/>
  <c r="D38" i="5"/>
  <c r="C38" i="5"/>
  <c r="E35" i="5"/>
  <c r="F35" i="5"/>
  <c r="D35" i="5"/>
  <c r="C35" i="5"/>
  <c r="E32" i="5"/>
  <c r="F32" i="5"/>
  <c r="D32" i="5"/>
  <c r="C32" i="5"/>
  <c r="E29" i="5"/>
  <c r="F29" i="5"/>
  <c r="D29" i="5"/>
  <c r="C29" i="5"/>
  <c r="E26" i="5"/>
  <c r="F26" i="5"/>
  <c r="D26" i="5"/>
  <c r="C26" i="5"/>
  <c r="E23" i="5"/>
  <c r="F23" i="5"/>
  <c r="D23" i="5"/>
  <c r="C23" i="5"/>
  <c r="G23" i="5"/>
  <c r="D20" i="5"/>
  <c r="E20" i="5"/>
  <c r="F20" i="5"/>
  <c r="C20" i="5"/>
  <c r="E17" i="5"/>
  <c r="F17" i="5"/>
  <c r="D17" i="5"/>
  <c r="C17" i="5"/>
  <c r="E14" i="5"/>
  <c r="F14" i="5"/>
  <c r="D14" i="5"/>
  <c r="C14" i="5"/>
  <c r="D11" i="5"/>
  <c r="E11" i="5"/>
  <c r="F11" i="5"/>
  <c r="C11" i="5"/>
  <c r="D8" i="5"/>
  <c r="E8" i="5"/>
  <c r="F8" i="5"/>
  <c r="C8" i="5"/>
  <c r="G7" i="5"/>
  <c r="J7" i="5"/>
  <c r="N7" i="5"/>
  <c r="G9" i="5"/>
  <c r="K9" i="5" s="1"/>
  <c r="O9" i="5" s="1"/>
  <c r="G10" i="5"/>
  <c r="J10" i="5"/>
  <c r="N10" i="5"/>
  <c r="G12" i="5"/>
  <c r="G13" i="5"/>
  <c r="J13" i="5"/>
  <c r="N13" i="5"/>
  <c r="G15" i="5"/>
  <c r="G16" i="5"/>
  <c r="J16" i="5"/>
  <c r="N16" i="5"/>
  <c r="G18" i="5"/>
  <c r="G19" i="5"/>
  <c r="J19" i="5"/>
  <c r="N19" i="5"/>
  <c r="G21" i="5"/>
  <c r="G22" i="5"/>
  <c r="J22" i="5"/>
  <c r="K22" i="5" s="1"/>
  <c r="O22" i="5" s="1"/>
  <c r="N22" i="5"/>
  <c r="G24" i="5"/>
  <c r="K24" i="5" s="1"/>
  <c r="G25" i="5"/>
  <c r="J25" i="5"/>
  <c r="N25" i="5"/>
  <c r="G27" i="5"/>
  <c r="K27" i="5" s="1"/>
  <c r="G28" i="5"/>
  <c r="J28" i="5"/>
  <c r="K28" i="5" s="1"/>
  <c r="N28" i="5"/>
  <c r="G30" i="5"/>
  <c r="G31" i="5"/>
  <c r="J31" i="5"/>
  <c r="N31" i="5"/>
  <c r="G33" i="5"/>
  <c r="G34" i="5"/>
  <c r="J34" i="5"/>
  <c r="N34" i="5"/>
  <c r="G36" i="5"/>
  <c r="G37" i="5"/>
  <c r="J37" i="5"/>
  <c r="N37" i="5"/>
  <c r="G39" i="5"/>
  <c r="G40" i="5"/>
  <c r="K40" i="5" s="1"/>
  <c r="O40" i="5" s="1"/>
  <c r="J40" i="5"/>
  <c r="N40" i="5"/>
  <c r="G6" i="5"/>
  <c r="N6" i="5"/>
  <c r="D39" i="6"/>
  <c r="C39" i="6"/>
  <c r="D36" i="6"/>
  <c r="C36" i="6"/>
  <c r="E36" i="6"/>
  <c r="D33" i="6"/>
  <c r="C33" i="6"/>
  <c r="D30" i="6"/>
  <c r="C30" i="6"/>
  <c r="D27" i="6"/>
  <c r="C27" i="6"/>
  <c r="D24" i="6"/>
  <c r="C24" i="6"/>
  <c r="E24" i="6"/>
  <c r="D21" i="6"/>
  <c r="C21" i="6"/>
  <c r="D18" i="6"/>
  <c r="C18" i="6"/>
  <c r="D12" i="6"/>
  <c r="C12" i="6"/>
  <c r="E12" i="6" s="1"/>
  <c r="D9" i="6"/>
  <c r="C9" i="6"/>
  <c r="E9" i="6" s="1"/>
  <c r="D6" i="6"/>
  <c r="C6" i="6"/>
  <c r="E5" i="6"/>
  <c r="E7" i="6"/>
  <c r="E8" i="6"/>
  <c r="E10" i="6"/>
  <c r="E11" i="6"/>
  <c r="E13" i="6"/>
  <c r="E14" i="6"/>
  <c r="E16" i="6"/>
  <c r="E17" i="6"/>
  <c r="E19" i="6"/>
  <c r="E20" i="6"/>
  <c r="E22" i="6"/>
  <c r="E23" i="6"/>
  <c r="E25" i="6"/>
  <c r="E26" i="6"/>
  <c r="E28" i="6"/>
  <c r="E29" i="6"/>
  <c r="E31" i="6"/>
  <c r="E32" i="6"/>
  <c r="E34" i="6"/>
  <c r="E35" i="6"/>
  <c r="E37" i="6"/>
  <c r="E38" i="6"/>
  <c r="E4" i="6"/>
  <c r="Q37" i="1"/>
  <c r="C35" i="3" s="1"/>
  <c r="Q34" i="1"/>
  <c r="C32" i="3" s="1"/>
  <c r="Q31" i="1"/>
  <c r="C29" i="3" s="1"/>
  <c r="Q28" i="1"/>
  <c r="C26" i="3" s="1"/>
  <c r="Q22" i="1"/>
  <c r="Q19" i="1"/>
  <c r="Q39" i="2"/>
  <c r="D38" i="3" s="1"/>
  <c r="Q36" i="2"/>
  <c r="D35" i="3" s="1"/>
  <c r="Q33" i="2"/>
  <c r="D32" i="3" s="1"/>
  <c r="Q30" i="2"/>
  <c r="Q27" i="2"/>
  <c r="D26" i="3" s="1"/>
  <c r="Q24" i="2"/>
  <c r="Q21" i="2"/>
  <c r="D20" i="3" s="1"/>
  <c r="Q18" i="2"/>
  <c r="Q15" i="2"/>
  <c r="D14" i="3" s="1"/>
  <c r="Q12" i="2"/>
  <c r="D11" i="3" s="1"/>
  <c r="Q9" i="2"/>
  <c r="D8" i="3" s="1"/>
  <c r="U40" i="1"/>
  <c r="K25" i="1"/>
  <c r="Q25" i="1" s="1"/>
  <c r="K16" i="1"/>
  <c r="Q16" i="1" s="1"/>
  <c r="U16" i="1"/>
  <c r="C13" i="1"/>
  <c r="C14" i="1" s="1"/>
  <c r="D10" i="1"/>
  <c r="D11" i="1" s="1"/>
  <c r="C10" i="1"/>
  <c r="C7" i="1"/>
  <c r="Q7" i="1" s="1"/>
  <c r="Q38" i="2"/>
  <c r="D37" i="3"/>
  <c r="Q35" i="2"/>
  <c r="D34" i="3"/>
  <c r="Q36" i="1"/>
  <c r="C34" i="3" s="1"/>
  <c r="Q32" i="2"/>
  <c r="D31" i="3" s="1"/>
  <c r="Q29" i="2"/>
  <c r="D28" i="3" s="1"/>
  <c r="Q26" i="2"/>
  <c r="D25" i="3" s="1"/>
  <c r="D27" i="3" s="1"/>
  <c r="Q23" i="2"/>
  <c r="D22" i="3" s="1"/>
  <c r="Q20" i="2"/>
  <c r="D19" i="3" s="1"/>
  <c r="Q17" i="2"/>
  <c r="D16" i="3" s="1"/>
  <c r="Q14" i="2"/>
  <c r="D13" i="3" s="1"/>
  <c r="D15" i="3" s="1"/>
  <c r="Q11" i="2"/>
  <c r="D10" i="3" s="1"/>
  <c r="Q12" i="1"/>
  <c r="C10" i="3" s="1"/>
  <c r="Q8" i="2"/>
  <c r="D7" i="3" s="1"/>
  <c r="Q6" i="1"/>
  <c r="C4" i="3" s="1"/>
  <c r="AA38" i="2"/>
  <c r="AA39" i="2"/>
  <c r="Z40" i="2"/>
  <c r="Y40" i="2"/>
  <c r="W40" i="2"/>
  <c r="V40" i="2"/>
  <c r="U40" i="2"/>
  <c r="T40" i="2"/>
  <c r="S40" i="2"/>
  <c r="R40" i="2"/>
  <c r="O40" i="2"/>
  <c r="N40" i="2"/>
  <c r="M40" i="2"/>
  <c r="L40" i="2"/>
  <c r="K40" i="2"/>
  <c r="I40" i="2"/>
  <c r="H40" i="2"/>
  <c r="G40" i="2"/>
  <c r="F40" i="2"/>
  <c r="E40" i="2"/>
  <c r="D40" i="2"/>
  <c r="C40" i="2"/>
  <c r="AA35" i="2"/>
  <c r="AA36" i="2"/>
  <c r="AA37" i="2" s="1"/>
  <c r="Z37" i="2"/>
  <c r="Y37" i="2"/>
  <c r="W37" i="2"/>
  <c r="V37" i="2"/>
  <c r="U37" i="2"/>
  <c r="T37" i="2"/>
  <c r="S37" i="2"/>
  <c r="R37" i="2"/>
  <c r="O37" i="2"/>
  <c r="N37" i="2"/>
  <c r="M37" i="2"/>
  <c r="L37" i="2"/>
  <c r="K37" i="2"/>
  <c r="I37" i="2"/>
  <c r="H37" i="2"/>
  <c r="G37" i="2"/>
  <c r="F37" i="2"/>
  <c r="E37" i="2"/>
  <c r="D37" i="2"/>
  <c r="C37" i="2"/>
  <c r="AA32" i="2"/>
  <c r="AA33" i="2"/>
  <c r="Z34" i="2"/>
  <c r="Y34" i="2"/>
  <c r="W34" i="2"/>
  <c r="V34" i="2"/>
  <c r="U34" i="2"/>
  <c r="T34" i="2"/>
  <c r="S34" i="2"/>
  <c r="R34" i="2"/>
  <c r="O34" i="2"/>
  <c r="N34" i="2"/>
  <c r="M34" i="2"/>
  <c r="L34" i="2"/>
  <c r="K34" i="2"/>
  <c r="I34" i="2"/>
  <c r="H34" i="2"/>
  <c r="G34" i="2"/>
  <c r="F34" i="2"/>
  <c r="E34" i="2"/>
  <c r="D34" i="2"/>
  <c r="C34" i="2"/>
  <c r="AA29" i="2"/>
  <c r="AA30" i="2"/>
  <c r="AA31" i="2" s="1"/>
  <c r="Z31" i="2"/>
  <c r="Y31" i="2"/>
  <c r="W31" i="2"/>
  <c r="V31" i="2"/>
  <c r="U31" i="2"/>
  <c r="T31" i="2"/>
  <c r="S31" i="2"/>
  <c r="R31" i="2"/>
  <c r="O31" i="2"/>
  <c r="N31" i="2"/>
  <c r="M31" i="2"/>
  <c r="L31" i="2"/>
  <c r="K31" i="2"/>
  <c r="I31" i="2"/>
  <c r="H31" i="2"/>
  <c r="G31" i="2"/>
  <c r="F31" i="2"/>
  <c r="E31" i="2"/>
  <c r="D31" i="2"/>
  <c r="C31" i="2"/>
  <c r="AA26" i="2"/>
  <c r="AA28" i="2" s="1"/>
  <c r="AA27" i="2"/>
  <c r="AB27" i="2" s="1"/>
  <c r="Z28" i="2"/>
  <c r="Y28" i="2"/>
  <c r="W28" i="2"/>
  <c r="V28" i="2"/>
  <c r="U28" i="2"/>
  <c r="T28" i="2"/>
  <c r="S28" i="2"/>
  <c r="R28" i="2"/>
  <c r="O28" i="2"/>
  <c r="N28" i="2"/>
  <c r="M28" i="2"/>
  <c r="L28" i="2"/>
  <c r="K28" i="2"/>
  <c r="I28" i="2"/>
  <c r="H28" i="2"/>
  <c r="G28" i="2"/>
  <c r="F28" i="2"/>
  <c r="E28" i="2"/>
  <c r="D28" i="2"/>
  <c r="C28" i="2"/>
  <c r="AA23" i="2"/>
  <c r="AA24" i="2"/>
  <c r="Z25" i="2"/>
  <c r="Y25" i="2"/>
  <c r="W25" i="2"/>
  <c r="V25" i="2"/>
  <c r="U25" i="2"/>
  <c r="T25" i="2"/>
  <c r="S25" i="2"/>
  <c r="R25" i="2"/>
  <c r="O25" i="2"/>
  <c r="N25" i="2"/>
  <c r="M25" i="2"/>
  <c r="L25" i="2"/>
  <c r="K25" i="2"/>
  <c r="I25" i="2"/>
  <c r="H25" i="2"/>
  <c r="G25" i="2"/>
  <c r="F25" i="2"/>
  <c r="E25" i="2"/>
  <c r="D25" i="2"/>
  <c r="C25" i="2"/>
  <c r="AA20" i="2"/>
  <c r="AB20" i="2" s="1"/>
  <c r="AA21" i="2"/>
  <c r="AB21" i="2" s="1"/>
  <c r="Z22" i="2"/>
  <c r="Y22" i="2"/>
  <c r="W22" i="2"/>
  <c r="V22" i="2"/>
  <c r="U22" i="2"/>
  <c r="T22" i="2"/>
  <c r="S22" i="2"/>
  <c r="R22" i="2"/>
  <c r="Q22" i="2"/>
  <c r="O22" i="2"/>
  <c r="N22" i="2"/>
  <c r="M22" i="2"/>
  <c r="L22" i="2"/>
  <c r="K22" i="2"/>
  <c r="I22" i="2"/>
  <c r="H22" i="2"/>
  <c r="G22" i="2"/>
  <c r="F22" i="2"/>
  <c r="E22" i="2"/>
  <c r="D22" i="2"/>
  <c r="C22" i="2"/>
  <c r="AA17" i="2"/>
  <c r="AB17" i="2" s="1"/>
  <c r="AA18" i="2"/>
  <c r="Z19" i="2"/>
  <c r="Y19" i="2"/>
  <c r="W19" i="2"/>
  <c r="V19" i="2"/>
  <c r="U19" i="2"/>
  <c r="T19" i="2"/>
  <c r="S19" i="2"/>
  <c r="R19" i="2"/>
  <c r="O19" i="2"/>
  <c r="N19" i="2"/>
  <c r="M19" i="2"/>
  <c r="L19" i="2"/>
  <c r="K19" i="2"/>
  <c r="I19" i="2"/>
  <c r="H19" i="2"/>
  <c r="G19" i="2"/>
  <c r="F19" i="2"/>
  <c r="E19" i="2"/>
  <c r="D19" i="2"/>
  <c r="C19" i="2"/>
  <c r="AA14" i="2"/>
  <c r="AA16" i="2" s="1"/>
  <c r="AA15" i="2"/>
  <c r="Z16" i="2"/>
  <c r="Y16" i="2"/>
  <c r="W16" i="2"/>
  <c r="V16" i="2"/>
  <c r="U16" i="2"/>
  <c r="T16" i="2"/>
  <c r="S16" i="2"/>
  <c r="R16" i="2"/>
  <c r="Q16" i="2"/>
  <c r="O16" i="2"/>
  <c r="N16" i="2"/>
  <c r="M16" i="2"/>
  <c r="L16" i="2"/>
  <c r="K16" i="2"/>
  <c r="I16" i="2"/>
  <c r="H16" i="2"/>
  <c r="G16" i="2"/>
  <c r="F16" i="2"/>
  <c r="E16" i="2"/>
  <c r="D16" i="2"/>
  <c r="C16" i="2"/>
  <c r="AA11" i="2"/>
  <c r="AA12" i="2"/>
  <c r="Z13" i="2"/>
  <c r="Y13" i="2"/>
  <c r="W13" i="2"/>
  <c r="V13" i="2"/>
  <c r="U13" i="2"/>
  <c r="T13" i="2"/>
  <c r="S13" i="2"/>
  <c r="R13" i="2"/>
  <c r="O13" i="2"/>
  <c r="N13" i="2"/>
  <c r="M13" i="2"/>
  <c r="L13" i="2"/>
  <c r="K13" i="2"/>
  <c r="I13" i="2"/>
  <c r="H13" i="2"/>
  <c r="G13" i="2"/>
  <c r="F13" i="2"/>
  <c r="E13" i="2"/>
  <c r="D13" i="2"/>
  <c r="C13" i="2"/>
  <c r="AA8" i="2"/>
  <c r="AA9" i="2"/>
  <c r="Z10" i="2"/>
  <c r="Y10" i="2"/>
  <c r="W10" i="2"/>
  <c r="V10" i="2"/>
  <c r="U10" i="2"/>
  <c r="T10" i="2"/>
  <c r="S10" i="2"/>
  <c r="R10" i="2"/>
  <c r="O10" i="2"/>
  <c r="N10" i="2"/>
  <c r="M10" i="2"/>
  <c r="L10" i="2"/>
  <c r="K10" i="2"/>
  <c r="I10" i="2"/>
  <c r="H10" i="2"/>
  <c r="G10" i="2"/>
  <c r="F10" i="2"/>
  <c r="E10" i="2"/>
  <c r="D10" i="2"/>
  <c r="C10" i="2"/>
  <c r="AA5" i="2"/>
  <c r="AA6" i="2"/>
  <c r="Z7" i="2"/>
  <c r="Y7" i="2"/>
  <c r="V7" i="2"/>
  <c r="U7" i="2"/>
  <c r="T7" i="2"/>
  <c r="S7" i="2"/>
  <c r="R7" i="2"/>
  <c r="O7" i="2"/>
  <c r="N7" i="2"/>
  <c r="M7" i="2"/>
  <c r="L7" i="2"/>
  <c r="K7" i="2"/>
  <c r="I7" i="2"/>
  <c r="H7" i="2"/>
  <c r="G7" i="2"/>
  <c r="F7" i="2"/>
  <c r="E7" i="2"/>
  <c r="D7" i="2"/>
  <c r="C7" i="2"/>
  <c r="Q39" i="1"/>
  <c r="C37" i="3" s="1"/>
  <c r="U39" i="1"/>
  <c r="S41" i="1"/>
  <c r="R41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C41" i="1"/>
  <c r="U36" i="1"/>
  <c r="U38" i="1" s="1"/>
  <c r="U37" i="1"/>
  <c r="S38" i="1"/>
  <c r="R38" i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C38" i="1"/>
  <c r="Q33" i="1"/>
  <c r="C31" i="3" s="1"/>
  <c r="U33" i="1"/>
  <c r="U34" i="1"/>
  <c r="S35" i="1"/>
  <c r="R35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Q30" i="1"/>
  <c r="C28" i="3" s="1"/>
  <c r="U30" i="1"/>
  <c r="U31" i="1"/>
  <c r="S32" i="1"/>
  <c r="R32" i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C32" i="1"/>
  <c r="Q27" i="1"/>
  <c r="C25" i="3" s="1"/>
  <c r="U27" i="1"/>
  <c r="U28" i="1"/>
  <c r="S29" i="1"/>
  <c r="R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Q24" i="1"/>
  <c r="C22" i="3" s="1"/>
  <c r="U24" i="1"/>
  <c r="U25" i="1"/>
  <c r="S26" i="1"/>
  <c r="R26" i="1"/>
  <c r="P26" i="1"/>
  <c r="O26" i="1"/>
  <c r="N26" i="1"/>
  <c r="M26" i="1"/>
  <c r="L26" i="1"/>
  <c r="J26" i="1"/>
  <c r="I26" i="1"/>
  <c r="H26" i="1"/>
  <c r="G26" i="1"/>
  <c r="F26" i="1"/>
  <c r="E26" i="1"/>
  <c r="D26" i="1"/>
  <c r="C26" i="1"/>
  <c r="Q21" i="1"/>
  <c r="C19" i="3" s="1"/>
  <c r="U21" i="1"/>
  <c r="U22" i="1"/>
  <c r="S23" i="1"/>
  <c r="R23" i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Q18" i="1"/>
  <c r="C16" i="3" s="1"/>
  <c r="U18" i="1"/>
  <c r="U19" i="1"/>
  <c r="U20" i="1" s="1"/>
  <c r="S20" i="1"/>
  <c r="R20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Q15" i="1"/>
  <c r="C13" i="3" s="1"/>
  <c r="U15" i="1"/>
  <c r="S17" i="1"/>
  <c r="R17" i="1"/>
  <c r="P17" i="1"/>
  <c r="O17" i="1"/>
  <c r="N17" i="1"/>
  <c r="M17" i="1"/>
  <c r="L17" i="1"/>
  <c r="J17" i="1"/>
  <c r="I17" i="1"/>
  <c r="H17" i="1"/>
  <c r="G17" i="1"/>
  <c r="F17" i="1"/>
  <c r="E17" i="1"/>
  <c r="D17" i="1"/>
  <c r="C17" i="1"/>
  <c r="U12" i="1"/>
  <c r="U13" i="1"/>
  <c r="S14" i="1"/>
  <c r="R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Q9" i="1"/>
  <c r="C7" i="3" s="1"/>
  <c r="U9" i="1"/>
  <c r="U10" i="1"/>
  <c r="S11" i="1"/>
  <c r="R11" i="1"/>
  <c r="P11" i="1"/>
  <c r="O11" i="1"/>
  <c r="N11" i="1"/>
  <c r="M11" i="1"/>
  <c r="L11" i="1"/>
  <c r="K11" i="1"/>
  <c r="J11" i="1"/>
  <c r="I11" i="1"/>
  <c r="H11" i="1"/>
  <c r="G11" i="1"/>
  <c r="F11" i="1"/>
  <c r="E11" i="1"/>
  <c r="U6" i="1"/>
  <c r="U7" i="1"/>
  <c r="S8" i="1"/>
  <c r="R8" i="1"/>
  <c r="P8" i="1"/>
  <c r="O8" i="1"/>
  <c r="N8" i="1"/>
  <c r="M8" i="1"/>
  <c r="L8" i="1"/>
  <c r="K8" i="1"/>
  <c r="J8" i="1"/>
  <c r="I8" i="1"/>
  <c r="H8" i="1"/>
  <c r="G8" i="1"/>
  <c r="F8" i="1"/>
  <c r="E8" i="1"/>
  <c r="D8" i="1"/>
  <c r="N47" i="5"/>
  <c r="Q19" i="2"/>
  <c r="G44" i="5"/>
  <c r="AB44" i="2"/>
  <c r="D43" i="3"/>
  <c r="Q48" i="1"/>
  <c r="K50" i="1"/>
  <c r="V15" i="1"/>
  <c r="AB29" i="2"/>
  <c r="Q46" i="2"/>
  <c r="Q51" i="1"/>
  <c r="N51" i="5"/>
  <c r="C49" i="3"/>
  <c r="E52" i="3"/>
  <c r="G52" i="3" s="1"/>
  <c r="AB53" i="2"/>
  <c r="G14" i="5"/>
  <c r="AB26" i="2"/>
  <c r="AB28" i="2" s="1"/>
  <c r="K25" i="5"/>
  <c r="O25" i="5"/>
  <c r="K54" i="5"/>
  <c r="O24" i="5"/>
  <c r="G41" i="5"/>
  <c r="AB56" i="2"/>
  <c r="E27" i="6" l="1"/>
  <c r="E33" i="6"/>
  <c r="E54" i="6"/>
  <c r="E6" i="6"/>
  <c r="K18" i="5"/>
  <c r="J56" i="5"/>
  <c r="K56" i="5" s="1"/>
  <c r="O56" i="5" s="1"/>
  <c r="J14" i="5"/>
  <c r="K31" i="5"/>
  <c r="O31" i="5" s="1"/>
  <c r="N8" i="5"/>
  <c r="G54" i="3"/>
  <c r="D12" i="3"/>
  <c r="D9" i="3"/>
  <c r="D21" i="3"/>
  <c r="AB23" i="2"/>
  <c r="Q7" i="2"/>
  <c r="AA40" i="2"/>
  <c r="Q40" i="2"/>
  <c r="E28" i="3"/>
  <c r="G28" i="3" s="1"/>
  <c r="AA13" i="2"/>
  <c r="D39" i="3"/>
  <c r="AB48" i="2"/>
  <c r="Q31" i="2"/>
  <c r="AA10" i="2"/>
  <c r="AB38" i="2"/>
  <c r="Q25" i="2"/>
  <c r="Q43" i="2"/>
  <c r="D33" i="3"/>
  <c r="AB55" i="2"/>
  <c r="V40" i="1"/>
  <c r="U32" i="1"/>
  <c r="V54" i="1"/>
  <c r="Q62" i="1"/>
  <c r="Q41" i="1"/>
  <c r="K17" i="1"/>
  <c r="U41" i="1"/>
  <c r="Q13" i="1"/>
  <c r="C11" i="3" s="1"/>
  <c r="E11" i="3" s="1"/>
  <c r="G11" i="3" s="1"/>
  <c r="Q59" i="1"/>
  <c r="V51" i="1"/>
  <c r="V27" i="1"/>
  <c r="V13" i="1"/>
  <c r="U62" i="1"/>
  <c r="K53" i="1"/>
  <c r="V37" i="1"/>
  <c r="Q32" i="1"/>
  <c r="U23" i="1"/>
  <c r="U50" i="1"/>
  <c r="V30" i="1"/>
  <c r="E49" i="3"/>
  <c r="G49" i="3" s="1"/>
  <c r="AA7" i="2"/>
  <c r="Q13" i="2"/>
  <c r="E30" i="6"/>
  <c r="J11" i="5"/>
  <c r="U44" i="1"/>
  <c r="AA43" i="2"/>
  <c r="Q52" i="2"/>
  <c r="Q10" i="2"/>
  <c r="E10" i="3"/>
  <c r="G10" i="3" s="1"/>
  <c r="D36" i="3"/>
  <c r="K13" i="5"/>
  <c r="O13" i="5" s="1"/>
  <c r="O49" i="5"/>
  <c r="I54" i="7"/>
  <c r="V62" i="1"/>
  <c r="V39" i="1"/>
  <c r="V41" i="1" s="1"/>
  <c r="Q14" i="1"/>
  <c r="U14" i="1"/>
  <c r="U26" i="1"/>
  <c r="K39" i="5"/>
  <c r="O39" i="5" s="1"/>
  <c r="K12" i="5"/>
  <c r="O12" i="5" s="1"/>
  <c r="G20" i="5"/>
  <c r="K20" i="5" s="1"/>
  <c r="O20" i="5" s="1"/>
  <c r="N41" i="5"/>
  <c r="N44" i="5"/>
  <c r="I25" i="7"/>
  <c r="I27" i="7" s="1"/>
  <c r="J62" i="5"/>
  <c r="K62" i="5" s="1"/>
  <c r="O62" i="5" s="1"/>
  <c r="J17" i="5"/>
  <c r="AB50" i="2"/>
  <c r="V49" i="1"/>
  <c r="E35" i="3"/>
  <c r="G35" i="3" s="1"/>
  <c r="O18" i="5"/>
  <c r="J35" i="5"/>
  <c r="N29" i="5"/>
  <c r="E42" i="6"/>
  <c r="K51" i="5"/>
  <c r="O51" i="5" s="1"/>
  <c r="K59" i="5"/>
  <c r="O59" i="5" s="1"/>
  <c r="AB32" i="2"/>
  <c r="AB36" i="2"/>
  <c r="K19" i="5"/>
  <c r="O19" i="5" s="1"/>
  <c r="AB12" i="2"/>
  <c r="AB22" i="2"/>
  <c r="J20" i="5"/>
  <c r="H53" i="5"/>
  <c r="U53" i="1"/>
  <c r="AB58" i="2"/>
  <c r="E16" i="3"/>
  <c r="G16" i="3" s="1"/>
  <c r="V31" i="1"/>
  <c r="K37" i="5"/>
  <c r="O37" i="5" s="1"/>
  <c r="E15" i="6"/>
  <c r="Q37" i="2"/>
  <c r="E7" i="3"/>
  <c r="G7" i="3" s="1"/>
  <c r="AB39" i="2"/>
  <c r="D45" i="3"/>
  <c r="I30" i="7"/>
  <c r="K61" i="5"/>
  <c r="O61" i="5" s="1"/>
  <c r="V6" i="1"/>
  <c r="Q50" i="1"/>
  <c r="K14" i="5"/>
  <c r="O14" i="5" s="1"/>
  <c r="D5" i="3"/>
  <c r="AB51" i="2"/>
  <c r="AB15" i="2"/>
  <c r="Q28" i="2"/>
  <c r="K16" i="5"/>
  <c r="O16" i="5" s="1"/>
  <c r="K7" i="5"/>
  <c r="O7" i="5" s="1"/>
  <c r="G32" i="5"/>
  <c r="K32" i="5" s="1"/>
  <c r="O32" i="5" s="1"/>
  <c r="N17" i="5"/>
  <c r="AB45" i="2"/>
  <c r="AB46" i="2" s="1"/>
  <c r="G50" i="5"/>
  <c r="AA55" i="2"/>
  <c r="I48" i="7"/>
  <c r="K41" i="5"/>
  <c r="O41" i="5" s="1"/>
  <c r="O28" i="5"/>
  <c r="E21" i="6"/>
  <c r="K10" i="5"/>
  <c r="O52" i="5"/>
  <c r="C8" i="1"/>
  <c r="AB11" i="2"/>
  <c r="AB14" i="2"/>
  <c r="AB35" i="2"/>
  <c r="K33" i="5"/>
  <c r="O33" i="5" s="1"/>
  <c r="K15" i="5"/>
  <c r="O15" i="5" s="1"/>
  <c r="G8" i="5"/>
  <c r="K8" i="5" s="1"/>
  <c r="O8" i="5" s="1"/>
  <c r="J26" i="5"/>
  <c r="V58" i="1"/>
  <c r="H21" i="7"/>
  <c r="C14" i="3"/>
  <c r="C15" i="3" s="1"/>
  <c r="E15" i="3" s="1"/>
  <c r="G15" i="3" s="1"/>
  <c r="Q17" i="1"/>
  <c r="C5" i="3"/>
  <c r="Q8" i="1"/>
  <c r="V43" i="1"/>
  <c r="C41" i="3"/>
  <c r="E41" i="3" s="1"/>
  <c r="G41" i="3" s="1"/>
  <c r="AB41" i="2"/>
  <c r="AB43" i="2" s="1"/>
  <c r="AB9" i="2"/>
  <c r="AA19" i="2"/>
  <c r="J6" i="5"/>
  <c r="K6" i="5" s="1"/>
  <c r="O6" i="5" s="1"/>
  <c r="K34" i="5"/>
  <c r="O34" i="5" s="1"/>
  <c r="V12" i="1"/>
  <c r="Q34" i="2"/>
  <c r="G29" i="5"/>
  <c r="K29" i="5" s="1"/>
  <c r="K44" i="1"/>
  <c r="J47" i="5"/>
  <c r="N53" i="5"/>
  <c r="E19" i="3"/>
  <c r="G19" i="3" s="1"/>
  <c r="AB8" i="2"/>
  <c r="AB33" i="2"/>
  <c r="U17" i="1"/>
  <c r="C36" i="3"/>
  <c r="V36" i="1"/>
  <c r="V38" i="1" s="1"/>
  <c r="E18" i="6"/>
  <c r="K30" i="5"/>
  <c r="O30" i="5" s="1"/>
  <c r="N35" i="5"/>
  <c r="K43" i="5"/>
  <c r="O43" i="5" s="1"/>
  <c r="E57" i="3"/>
  <c r="G57" i="3" s="1"/>
  <c r="D18" i="7"/>
  <c r="D24" i="7"/>
  <c r="I33" i="7"/>
  <c r="V57" i="1"/>
  <c r="AB47" i="2"/>
  <c r="AB49" i="2" s="1"/>
  <c r="E22" i="3"/>
  <c r="G22" i="3" s="1"/>
  <c r="E26" i="3"/>
  <c r="G26" i="3" s="1"/>
  <c r="O10" i="5"/>
  <c r="G26" i="5"/>
  <c r="G35" i="5"/>
  <c r="AA46" i="2"/>
  <c r="V33" i="1"/>
  <c r="E39" i="6"/>
  <c r="K47" i="1"/>
  <c r="Q61" i="2"/>
  <c r="E31" i="3"/>
  <c r="G31" i="3" s="1"/>
  <c r="O54" i="5"/>
  <c r="Q49" i="2"/>
  <c r="AA22" i="2"/>
  <c r="Q38" i="1"/>
  <c r="AA25" i="2"/>
  <c r="Q10" i="1"/>
  <c r="Q11" i="1" s="1"/>
  <c r="G17" i="5"/>
  <c r="K17" i="5" s="1"/>
  <c r="O17" i="5" s="1"/>
  <c r="K48" i="5"/>
  <c r="O48" i="5" s="1"/>
  <c r="J53" i="5"/>
  <c r="K53" i="5" s="1"/>
  <c r="O53" i="5" s="1"/>
  <c r="I42" i="7"/>
  <c r="I51" i="7"/>
  <c r="I57" i="7"/>
  <c r="E38" i="3"/>
  <c r="G38" i="3" s="1"/>
  <c r="E34" i="3"/>
  <c r="G34" i="3" s="1"/>
  <c r="C44" i="3"/>
  <c r="E44" i="3" s="1"/>
  <c r="G44" i="3" s="1"/>
  <c r="V46" i="1"/>
  <c r="Q44" i="1"/>
  <c r="C40" i="3"/>
  <c r="E40" i="3" s="1"/>
  <c r="G40" i="3" s="1"/>
  <c r="V42" i="1"/>
  <c r="C39" i="3"/>
  <c r="E37" i="3"/>
  <c r="G37" i="3" s="1"/>
  <c r="C23" i="3"/>
  <c r="C24" i="3" s="1"/>
  <c r="V25" i="1"/>
  <c r="Q26" i="1"/>
  <c r="Q20" i="1"/>
  <c r="U8" i="1"/>
  <c r="V24" i="1"/>
  <c r="Q35" i="1"/>
  <c r="Q23" i="1"/>
  <c r="C11" i="1"/>
  <c r="U11" i="1"/>
  <c r="K26" i="1"/>
  <c r="V28" i="1"/>
  <c r="Q45" i="1"/>
  <c r="C43" i="3" s="1"/>
  <c r="E43" i="3" s="1"/>
  <c r="G43" i="3" s="1"/>
  <c r="V21" i="1"/>
  <c r="U29" i="1"/>
  <c r="V7" i="1"/>
  <c r="Q56" i="1"/>
  <c r="C27" i="3"/>
  <c r="E27" i="3" s="1"/>
  <c r="G27" i="3" s="1"/>
  <c r="V52" i="1"/>
  <c r="V18" i="1"/>
  <c r="Q29" i="1"/>
  <c r="V16" i="1"/>
  <c r="V17" i="1" s="1"/>
  <c r="C30" i="3"/>
  <c r="E50" i="3"/>
  <c r="G50" i="3" s="1"/>
  <c r="C51" i="3"/>
  <c r="E51" i="3" s="1"/>
  <c r="G51" i="3" s="1"/>
  <c r="E13" i="3"/>
  <c r="G13" i="3" s="1"/>
  <c r="Q53" i="1"/>
  <c r="E25" i="3"/>
  <c r="G25" i="3" s="1"/>
  <c r="AA34" i="2"/>
  <c r="C20" i="3"/>
  <c r="V22" i="1"/>
  <c r="O27" i="5"/>
  <c r="K23" i="5"/>
  <c r="O23" i="5" s="1"/>
  <c r="G38" i="5"/>
  <c r="K38" i="5" s="1"/>
  <c r="O38" i="5" s="1"/>
  <c r="J44" i="5"/>
  <c r="K44" i="5" s="1"/>
  <c r="U45" i="1"/>
  <c r="R47" i="1"/>
  <c r="Q55" i="2"/>
  <c r="I10" i="7"/>
  <c r="I12" i="7" s="1"/>
  <c r="D12" i="7"/>
  <c r="I24" i="7"/>
  <c r="C46" i="3"/>
  <c r="V48" i="1"/>
  <c r="D23" i="3"/>
  <c r="AB24" i="2"/>
  <c r="AB25" i="2" s="1"/>
  <c r="E32" i="3"/>
  <c r="G32" i="3" s="1"/>
  <c r="C33" i="3"/>
  <c r="E33" i="3" s="1"/>
  <c r="G33" i="3" s="1"/>
  <c r="K21" i="5"/>
  <c r="O21" i="5" s="1"/>
  <c r="G11" i="5"/>
  <c r="G47" i="5"/>
  <c r="J50" i="5"/>
  <c r="K50" i="5" s="1"/>
  <c r="O50" i="5" s="1"/>
  <c r="H6" i="7"/>
  <c r="I4" i="7"/>
  <c r="I6" i="7" s="1"/>
  <c r="D4" i="3"/>
  <c r="AB5" i="2"/>
  <c r="AB7" i="2" s="1"/>
  <c r="H9" i="7"/>
  <c r="I7" i="7"/>
  <c r="I9" i="7" s="1"/>
  <c r="D21" i="7"/>
  <c r="I19" i="7"/>
  <c r="I21" i="7" s="1"/>
  <c r="V9" i="1"/>
  <c r="V34" i="1"/>
  <c r="U35" i="1"/>
  <c r="D17" i="3"/>
  <c r="D18" i="3" s="1"/>
  <c r="AB18" i="2"/>
  <c r="AB19" i="2" s="1"/>
  <c r="D29" i="3"/>
  <c r="D30" i="3" s="1"/>
  <c r="AB30" i="2"/>
  <c r="AB31" i="2" s="1"/>
  <c r="C17" i="3"/>
  <c r="V19" i="1"/>
  <c r="V55" i="1"/>
  <c r="U56" i="1"/>
  <c r="AB59" i="2"/>
  <c r="AB61" i="2" s="1"/>
  <c r="K47" i="5" l="1"/>
  <c r="O47" i="5" s="1"/>
  <c r="K11" i="5"/>
  <c r="O11" i="5" s="1"/>
  <c r="O44" i="5"/>
  <c r="AB34" i="2"/>
  <c r="AB16" i="2"/>
  <c r="AB40" i="2"/>
  <c r="AB52" i="2"/>
  <c r="E39" i="3"/>
  <c r="G39" i="3" s="1"/>
  <c r="V14" i="1"/>
  <c r="E14" i="3"/>
  <c r="G14" i="3" s="1"/>
  <c r="V53" i="1"/>
  <c r="C12" i="3"/>
  <c r="E12" i="3" s="1"/>
  <c r="G12" i="3" s="1"/>
  <c r="V29" i="1"/>
  <c r="V56" i="1"/>
  <c r="V59" i="1"/>
  <c r="V35" i="1"/>
  <c r="V32" i="1"/>
  <c r="AB10" i="2"/>
  <c r="K35" i="5"/>
  <c r="V8" i="1"/>
  <c r="E5" i="3"/>
  <c r="G5" i="3" s="1"/>
  <c r="AB13" i="2"/>
  <c r="E36" i="3"/>
  <c r="G36" i="3" s="1"/>
  <c r="AB37" i="2"/>
  <c r="O29" i="5"/>
  <c r="V50" i="1"/>
  <c r="K26" i="5"/>
  <c r="O26" i="5" s="1"/>
  <c r="D6" i="3"/>
  <c r="V23" i="1"/>
  <c r="C6" i="3"/>
  <c r="C8" i="3"/>
  <c r="E8" i="3" s="1"/>
  <c r="G8" i="3" s="1"/>
  <c r="E29" i="3"/>
  <c r="G29" i="3" s="1"/>
  <c r="V10" i="1"/>
  <c r="V11" i="1" s="1"/>
  <c r="O35" i="5"/>
  <c r="V44" i="1"/>
  <c r="C42" i="3"/>
  <c r="E42" i="3" s="1"/>
  <c r="G42" i="3" s="1"/>
  <c r="C45" i="3"/>
  <c r="E45" i="3" s="1"/>
  <c r="G45" i="3" s="1"/>
  <c r="V20" i="1"/>
  <c r="Q47" i="1"/>
  <c r="V26" i="1"/>
  <c r="E30" i="3"/>
  <c r="G30" i="3" s="1"/>
  <c r="C18" i="3"/>
  <c r="E18" i="3" s="1"/>
  <c r="G18" i="3" s="1"/>
  <c r="E17" i="3"/>
  <c r="G17" i="3" s="1"/>
  <c r="V45" i="1"/>
  <c r="V47" i="1" s="1"/>
  <c r="U47" i="1"/>
  <c r="E23" i="3"/>
  <c r="G23" i="3" s="1"/>
  <c r="D24" i="3"/>
  <c r="E24" i="3" s="1"/>
  <c r="G24" i="3" s="1"/>
  <c r="E46" i="3"/>
  <c r="G46" i="3" s="1"/>
  <c r="C48" i="3"/>
  <c r="E48" i="3" s="1"/>
  <c r="G48" i="3" s="1"/>
  <c r="E4" i="3"/>
  <c r="G4" i="3" s="1"/>
  <c r="E20" i="3"/>
  <c r="G20" i="3" s="1"/>
  <c r="C21" i="3"/>
  <c r="E21" i="3" s="1"/>
  <c r="G21" i="3" s="1"/>
  <c r="C9" i="3" l="1"/>
  <c r="E9" i="3" s="1"/>
  <c r="G9" i="3" s="1"/>
  <c r="E6" i="3"/>
  <c r="G6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簡莉如</author>
  </authors>
  <commentList>
    <comment ref="Y74" authorId="0" shapeId="0" xr:uid="{B21D9DE7-078B-4381-80D0-B1BEF3AB7F72}">
      <text>
        <r>
          <rPr>
            <b/>
            <sz val="9"/>
            <color indexed="81"/>
            <rFont val="細明體"/>
            <family val="3"/>
            <charset val="136"/>
          </rPr>
          <t>簡莉如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現流表決算數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M56S-S3</author>
    <author>ACC075</author>
    <author>admin</author>
    <author>簡莉如</author>
  </authors>
  <commentList>
    <comment ref="L42" authorId="0" shapeId="0" xr:uid="{00000000-0006-0000-0300-000001000000}">
      <text>
        <r>
          <rPr>
            <b/>
            <sz val="9"/>
            <color indexed="81"/>
            <rFont val="新細明體"/>
            <family val="1"/>
            <charset val="136"/>
          </rPr>
          <t>M56S-S3:</t>
        </r>
        <r>
          <rPr>
            <sz val="9"/>
            <color indexed="81"/>
            <rFont val="新細明體"/>
            <family val="1"/>
            <charset val="136"/>
          </rPr>
          <t xml:space="preserve">
計畫5131-27D+5132-27D+5133-27D</t>
        </r>
      </text>
    </comment>
    <comment ref="D57" authorId="1" shapeId="0" xr:uid="{00000000-0006-0000-0300-000002000000}">
      <text>
        <r>
          <rPr>
            <b/>
            <sz val="9"/>
            <color indexed="81"/>
            <rFont val="Tahoma"/>
            <family val="2"/>
          </rPr>
          <t>105B2022-12,149,516</t>
        </r>
        <r>
          <rPr>
            <sz val="9"/>
            <color indexed="81"/>
            <rFont val="Tahoma"/>
            <family val="2"/>
          </rPr>
          <t xml:space="preserve">
106B2011-4,620,000
106B2016-8,575,000</t>
        </r>
      </text>
    </comment>
    <comment ref="E57" authorId="1" shapeId="0" xr:uid="{00000000-0006-0000-0300-000003000000}">
      <text>
        <r>
          <rPr>
            <b/>
            <sz val="9"/>
            <color indexed="81"/>
            <rFont val="Tahoma"/>
            <family val="2"/>
          </rPr>
          <t>106S0401-13,977,888
106S0611-2,455,000
106ST006-2,242,112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57" authorId="1" shapeId="0" xr:uid="{00000000-0006-0000-0300-000004000000}">
      <text>
        <r>
          <rPr>
            <b/>
            <sz val="9"/>
            <color indexed="81"/>
            <rFont val="Tahoma"/>
            <family val="2"/>
          </rPr>
          <t>51A1-27D-94,907,008
51DY-27D-1,878,332
522y-27D-10,821,100
5131-27D-T</t>
        </r>
        <r>
          <rPr>
            <b/>
            <sz val="9"/>
            <color indexed="81"/>
            <rFont val="細明體"/>
            <family val="3"/>
            <charset val="136"/>
          </rPr>
          <t>類-29,342,955
5131-27D-M類-30,140,932
5131-27D-E類-241,728</t>
        </r>
      </text>
    </comment>
    <comment ref="D60" authorId="1" shapeId="0" xr:uid="{00000000-0006-0000-0300-000005000000}">
      <text>
        <r>
          <rPr>
            <sz val="9"/>
            <color indexed="81"/>
            <rFont val="Tahoma"/>
            <family val="2"/>
          </rPr>
          <t>106B2016-11,915,000
107B2010-5,595,000
107B2014-235,503
107B2021-6,625,000</t>
        </r>
      </text>
    </comment>
    <comment ref="E60" authorId="1" shapeId="0" xr:uid="{00000000-0006-0000-0300-000006000000}">
      <text>
        <r>
          <rPr>
            <b/>
            <sz val="9"/>
            <color indexed="81"/>
            <rFont val="Tahoma"/>
            <family val="2"/>
          </rPr>
          <t>107S0024-7,899,241
107S0601-20,480,759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60" authorId="1" shapeId="0" xr:uid="{00000000-0006-0000-0300-000007000000}">
      <text>
        <r>
          <rPr>
            <b/>
            <sz val="9"/>
            <color indexed="81"/>
            <rFont val="細明體"/>
            <family val="3"/>
            <charset val="136"/>
          </rPr>
          <t>管總</t>
        </r>
        <r>
          <rPr>
            <b/>
            <sz val="9"/>
            <color indexed="81"/>
            <rFont val="Tahoma"/>
            <family val="2"/>
          </rPr>
          <t xml:space="preserve">-27D-112,470,870
</t>
        </r>
        <r>
          <rPr>
            <b/>
            <sz val="9"/>
            <color indexed="81"/>
            <rFont val="細明體"/>
            <family val="3"/>
            <charset val="136"/>
          </rPr>
          <t>雜項業務</t>
        </r>
        <r>
          <rPr>
            <b/>
            <sz val="9"/>
            <color indexed="81"/>
            <rFont val="Tahoma"/>
            <family val="2"/>
          </rPr>
          <t xml:space="preserve">-27D-1,736,342
</t>
        </r>
        <r>
          <rPr>
            <b/>
            <sz val="9"/>
            <color indexed="81"/>
            <rFont val="細明體"/>
            <family val="3"/>
            <charset val="136"/>
          </rPr>
          <t>雜項</t>
        </r>
        <r>
          <rPr>
            <b/>
            <sz val="9"/>
            <color indexed="81"/>
            <rFont val="Tahoma"/>
            <family val="2"/>
          </rPr>
          <t>-27D-11,031,729
5131-27D-T</t>
        </r>
        <r>
          <rPr>
            <b/>
            <sz val="9"/>
            <color indexed="81"/>
            <rFont val="細明體"/>
            <family val="3"/>
            <charset val="136"/>
          </rPr>
          <t>類-29,777,880
5131-27D-M類-32,527,060
5131-27D-E類-83,972</t>
        </r>
      </text>
    </comment>
    <comment ref="I61" authorId="2" shapeId="0" xr:uid="{00000000-0006-0000-0300-000008000000}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279</t>
        </r>
        <r>
          <rPr>
            <sz val="9"/>
            <color indexed="81"/>
            <rFont val="細明體"/>
            <family val="3"/>
            <charset val="136"/>
          </rPr>
          <t>全部</t>
        </r>
      </text>
    </comment>
    <comment ref="D63" authorId="1" shapeId="0" xr:uid="{00000000-0006-0000-0300-000009000000}">
      <text>
        <r>
          <rPr>
            <sz val="9"/>
            <color indexed="81"/>
            <rFont val="Tahoma"/>
            <family val="2"/>
          </rPr>
          <t>107B2021-$9,125,000
108B3020-$8,225,000</t>
        </r>
      </text>
    </comment>
    <comment ref="E63" authorId="1" shapeId="0" xr:uid="{00000000-0006-0000-0300-00000A000000}">
      <text>
        <r>
          <rPr>
            <sz val="9"/>
            <color indexed="81"/>
            <rFont val="Tahoma"/>
            <family val="2"/>
          </rPr>
          <t xml:space="preserve">108S0024-$18,009,044
108S0601-$31,978,483
</t>
        </r>
      </text>
    </comment>
    <comment ref="H63" authorId="1" shapeId="0" xr:uid="{00000000-0006-0000-0300-00000B000000}">
      <text>
        <r>
          <rPr>
            <b/>
            <sz val="9"/>
            <color indexed="81"/>
            <rFont val="細明體"/>
            <family val="3"/>
            <charset val="136"/>
          </rPr>
          <t>管總</t>
        </r>
        <r>
          <rPr>
            <b/>
            <sz val="9"/>
            <color indexed="81"/>
            <rFont val="Tahoma"/>
            <family val="2"/>
          </rPr>
          <t xml:space="preserve">-27D-66,073,170
</t>
        </r>
        <r>
          <rPr>
            <b/>
            <sz val="9"/>
            <color indexed="81"/>
            <rFont val="細明體"/>
            <family val="3"/>
            <charset val="136"/>
          </rPr>
          <t>雜項業務</t>
        </r>
        <r>
          <rPr>
            <b/>
            <sz val="9"/>
            <color indexed="81"/>
            <rFont val="Tahoma"/>
            <family val="2"/>
          </rPr>
          <t xml:space="preserve">-27D-1,342,264
</t>
        </r>
        <r>
          <rPr>
            <b/>
            <sz val="9"/>
            <color indexed="81"/>
            <rFont val="細明體"/>
            <family val="3"/>
            <charset val="136"/>
          </rPr>
          <t>雜項</t>
        </r>
        <r>
          <rPr>
            <b/>
            <sz val="9"/>
            <color indexed="81"/>
            <rFont val="Tahoma"/>
            <family val="2"/>
          </rPr>
          <t>-27D-11,456,901
5131-27D-T</t>
        </r>
        <r>
          <rPr>
            <b/>
            <sz val="9"/>
            <color indexed="81"/>
            <rFont val="細明體"/>
            <family val="3"/>
            <charset val="136"/>
          </rPr>
          <t>類-108,503,399
5131-27D-M類-34,080,126
5131-27D-E類-410,028</t>
        </r>
      </text>
    </comment>
    <comment ref="I64" authorId="2" shapeId="0" xr:uid="{00000000-0006-0000-0300-00000C000000}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279</t>
        </r>
        <r>
          <rPr>
            <sz val="9"/>
            <color indexed="81"/>
            <rFont val="細明體"/>
            <family val="3"/>
            <charset val="136"/>
          </rPr>
          <t>全部</t>
        </r>
      </text>
    </comment>
    <comment ref="D66" authorId="1" shapeId="0" xr:uid="{00000000-0006-0000-0300-00000D000000}">
      <text>
        <r>
          <rPr>
            <sz val="9"/>
            <color indexed="81"/>
            <rFont val="Tahoma"/>
            <family val="2"/>
          </rPr>
          <t>108B3020-$11,475,042
109B3014-$8,675,000</t>
        </r>
      </text>
    </comment>
    <comment ref="E66" authorId="1" shapeId="0" xr:uid="{00000000-0006-0000-0300-00000E000000}">
      <text>
        <r>
          <rPr>
            <sz val="9"/>
            <color indexed="81"/>
            <rFont val="Tahoma"/>
            <family val="2"/>
          </rPr>
          <t xml:space="preserve">109S0024-$6,635,757
109S0601-$41,387,818
</t>
        </r>
      </text>
    </comment>
    <comment ref="H66" authorId="1" shapeId="0" xr:uid="{00000000-0006-0000-0300-00000F000000}">
      <text>
        <r>
          <rPr>
            <b/>
            <sz val="9"/>
            <color indexed="81"/>
            <rFont val="細明體"/>
            <family val="3"/>
            <charset val="136"/>
          </rPr>
          <t>管總-27D-83,697,398
雜項業務-27D-1,604,160
雜項-27D-10,691,489
5131-27D-T類-120,414,344
5131-27D-M類-33,642,027
5131-27D-E類-947,367</t>
        </r>
      </text>
    </comment>
    <comment ref="I67" authorId="2" shapeId="0" xr:uid="{00000000-0006-0000-0300-000010000000}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279</t>
        </r>
        <r>
          <rPr>
            <sz val="9"/>
            <color indexed="81"/>
            <rFont val="細明體"/>
            <family val="3"/>
            <charset val="136"/>
          </rPr>
          <t>全部</t>
        </r>
      </text>
    </comment>
    <comment ref="D69" authorId="1" shapeId="0" xr:uid="{00000000-0006-0000-0300-000011000000}">
      <text>
        <r>
          <rPr>
            <sz val="9"/>
            <color indexed="81"/>
            <rFont val="Tahoma"/>
            <family val="2"/>
          </rPr>
          <t>109B3014-$12,124,404
110B3017$8,575,000</t>
        </r>
      </text>
    </comment>
    <comment ref="E69" authorId="1" shapeId="0" xr:uid="{00000000-0006-0000-0300-000012000000}">
      <text>
        <r>
          <rPr>
            <sz val="9"/>
            <color indexed="81"/>
            <rFont val="Tahoma"/>
            <family val="2"/>
          </rPr>
          <t>110S0024-$4,521,391
110S0601-$48,419,029
110ST003-$500,000</t>
        </r>
      </text>
    </comment>
    <comment ref="H69" authorId="1" shapeId="0" xr:uid="{00000000-0006-0000-0300-000013000000}">
      <text>
        <r>
          <rPr>
            <b/>
            <sz val="9"/>
            <color indexed="81"/>
            <rFont val="細明體"/>
            <family val="3"/>
            <charset val="136"/>
          </rPr>
          <t>管總-27D-84,851,320
雜項業務-27D-1,429,089
雜項-27D-11,707,785
5131-27D-T類-123,270,103
5131-27D-M類-34,732,689
5131-27D-E類-1,217,639</t>
        </r>
      </text>
    </comment>
    <comment ref="I70" authorId="2" shapeId="0" xr:uid="{00000000-0006-0000-0300-000014000000}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279</t>
        </r>
        <r>
          <rPr>
            <sz val="9"/>
            <color indexed="81"/>
            <rFont val="細明體"/>
            <family val="3"/>
            <charset val="136"/>
          </rPr>
          <t>全部</t>
        </r>
      </text>
    </comment>
    <comment ref="D72" authorId="1" shapeId="0" xr:uid="{00000000-0006-0000-0300-000015000000}">
      <text>
        <r>
          <rPr>
            <sz val="9"/>
            <color indexed="81"/>
            <rFont val="Tahoma"/>
            <family val="2"/>
          </rPr>
          <t>110B3017$12,205,000
111B3016$6,760,000</t>
        </r>
      </text>
    </comment>
    <comment ref="E72" authorId="1" shapeId="0" xr:uid="{00000000-0006-0000-0300-000016000000}">
      <text>
        <r>
          <rPr>
            <sz val="9"/>
            <color indexed="81"/>
            <rFont val="Tahoma"/>
            <family val="2"/>
          </rPr>
          <t xml:space="preserve">111S0024-$4,242,264
111S0601-$51,129,634
</t>
        </r>
      </text>
    </comment>
    <comment ref="H72" authorId="1" shapeId="0" xr:uid="{00000000-0006-0000-0300-000017000000}">
      <text>
        <r>
          <rPr>
            <b/>
            <sz val="9"/>
            <color indexed="81"/>
            <rFont val="細明體"/>
            <family val="3"/>
            <charset val="136"/>
          </rPr>
          <t>管總-27D-91,398,401
雜項業務-27D-1,391,348
雜項-27D-12,134,371
5131-27D-T類-131,318,254
5131-27D-M類-36,063,360
5131-27D-E類-1,459,159</t>
        </r>
      </text>
    </comment>
    <comment ref="I73" authorId="2" shapeId="0" xr:uid="{00000000-0006-0000-0300-000018000000}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279</t>
        </r>
        <r>
          <rPr>
            <sz val="9"/>
            <color indexed="81"/>
            <rFont val="細明體"/>
            <family val="3"/>
            <charset val="136"/>
          </rPr>
          <t>全部</t>
        </r>
      </text>
    </comment>
    <comment ref="D75" authorId="3" shapeId="0" xr:uid="{411D1C74-0918-443E-8CE5-A8FB60ABEA65}">
      <text>
        <r>
          <rPr>
            <b/>
            <sz val="9"/>
            <color indexed="81"/>
            <rFont val="細明體"/>
            <family val="3"/>
            <charset val="136"/>
          </rPr>
          <t>簡莉如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111B3016  $12,800,000
112B3018  $7,950,000</t>
        </r>
      </text>
    </comment>
    <comment ref="E75" authorId="3" shapeId="0" xr:uid="{870C51D4-3B47-4DEA-B92A-49471161C2AA}">
      <text>
        <r>
          <rPr>
            <b/>
            <sz val="9"/>
            <color indexed="81"/>
            <rFont val="細明體"/>
            <family val="3"/>
            <charset val="136"/>
          </rPr>
          <t>簡莉如</t>
        </r>
        <r>
          <rPr>
            <b/>
            <sz val="9"/>
            <color indexed="81"/>
            <rFont val="Tahoma"/>
            <family val="2"/>
          </rPr>
          <t xml:space="preserve">:
</t>
        </r>
        <r>
          <rPr>
            <sz val="9"/>
            <color indexed="81"/>
            <rFont val="Tahoma"/>
            <family val="2"/>
          </rPr>
          <t xml:space="preserve">
112S0024  $628,816
112S0601  $54,234,773</t>
        </r>
      </text>
    </comment>
    <comment ref="F75" authorId="3" shapeId="0" xr:uid="{3FE42B06-1222-4272-AF8B-23E5130F8C27}">
      <text>
        <r>
          <rPr>
            <b/>
            <sz val="9"/>
            <color indexed="81"/>
            <rFont val="細明體"/>
            <family val="3"/>
            <charset val="136"/>
          </rPr>
          <t>簡莉如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用人費用底稿
A-教學成本以外
B-教學、建教、推廣成本以外</t>
        </r>
      </text>
    </comment>
    <comment ref="H75" authorId="3" shapeId="0" xr:uid="{1A1B8019-6FA7-41AD-A411-6E7835A1B40D}">
      <text>
        <r>
          <rPr>
            <b/>
            <sz val="9"/>
            <color indexed="81"/>
            <rFont val="細明體"/>
            <family val="3"/>
            <charset val="136"/>
          </rPr>
          <t>簡莉如</t>
        </r>
        <r>
          <rPr>
            <b/>
            <sz val="9"/>
            <color indexed="81"/>
            <rFont val="Tahoma"/>
            <family val="2"/>
          </rPr>
          <t xml:space="preserve">:
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管總</t>
        </r>
        <r>
          <rPr>
            <sz val="9"/>
            <color indexed="81"/>
            <rFont val="Tahoma"/>
            <family val="2"/>
          </rPr>
          <t xml:space="preserve">-27D-94,504,280
</t>
        </r>
        <r>
          <rPr>
            <sz val="9"/>
            <color indexed="81"/>
            <rFont val="細明體"/>
            <family val="3"/>
            <charset val="136"/>
          </rPr>
          <t>雜項業務</t>
        </r>
        <r>
          <rPr>
            <sz val="9"/>
            <color indexed="81"/>
            <rFont val="Tahoma"/>
            <family val="2"/>
          </rPr>
          <t xml:space="preserve">-27D-1,676,610
</t>
        </r>
        <r>
          <rPr>
            <sz val="9"/>
            <color indexed="81"/>
            <rFont val="細明體"/>
            <family val="3"/>
            <charset val="136"/>
          </rPr>
          <t>雜項</t>
        </r>
        <r>
          <rPr>
            <sz val="9"/>
            <color indexed="81"/>
            <rFont val="Tahoma"/>
            <family val="2"/>
          </rPr>
          <t>-27D-13,896,588
5131-27D-T</t>
        </r>
        <r>
          <rPr>
            <sz val="9"/>
            <color indexed="81"/>
            <rFont val="細明體"/>
            <family val="3"/>
            <charset val="136"/>
          </rPr>
          <t>類</t>
        </r>
        <r>
          <rPr>
            <sz val="9"/>
            <color indexed="81"/>
            <rFont val="Tahoma"/>
            <family val="2"/>
          </rPr>
          <t>-136,972,519
5131-27D-M</t>
        </r>
        <r>
          <rPr>
            <sz val="9"/>
            <color indexed="81"/>
            <rFont val="細明體"/>
            <family val="3"/>
            <charset val="136"/>
          </rPr>
          <t>類</t>
        </r>
        <r>
          <rPr>
            <sz val="9"/>
            <color indexed="81"/>
            <rFont val="Tahoma"/>
            <family val="2"/>
          </rPr>
          <t>-37,423,679
5131-27D-E</t>
        </r>
        <r>
          <rPr>
            <sz val="9"/>
            <color indexed="81"/>
            <rFont val="細明體"/>
            <family val="3"/>
            <charset val="136"/>
          </rPr>
          <t>類</t>
        </r>
        <r>
          <rPr>
            <sz val="9"/>
            <color indexed="81"/>
            <rFont val="Tahoma"/>
            <family val="2"/>
          </rPr>
          <t>-1,970,825</t>
        </r>
      </text>
    </comment>
    <comment ref="D78" authorId="3" shapeId="0" xr:uid="{BA276AA6-6F5C-4CA3-8E0B-7ED153C27FA0}">
      <text>
        <r>
          <rPr>
            <b/>
            <sz val="9"/>
            <color indexed="81"/>
            <rFont val="細明體"/>
            <family val="3"/>
            <charset val="136"/>
          </rPr>
          <t>簡莉如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112B3018  $11,305,000
113B3021  $7,845,000</t>
        </r>
      </text>
    </comment>
    <comment ref="E78" authorId="3" shapeId="0" xr:uid="{C856AEBA-2ACE-4AFF-88D0-C441801D6828}">
      <text>
        <r>
          <rPr>
            <b/>
            <sz val="9"/>
            <color indexed="81"/>
            <rFont val="細明體"/>
            <family val="3"/>
            <charset val="136"/>
          </rPr>
          <t>簡莉如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113S0024  $100,719
113S0601  $56,335,937</t>
        </r>
      </text>
    </comment>
    <comment ref="F78" authorId="3" shapeId="0" xr:uid="{A4F8D3D9-38B0-4C32-B629-EFBC7240CFDB}">
      <text>
        <r>
          <rPr>
            <b/>
            <sz val="9"/>
            <color indexed="81"/>
            <rFont val="細明體"/>
            <family val="3"/>
            <charset val="136"/>
          </rPr>
          <t>簡莉如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用人費用底稿
A-教學成本以外 $155,095,000
B-教學、建教、推廣成本以外 $113,305,958</t>
        </r>
      </text>
    </comment>
    <comment ref="H78" authorId="3" shapeId="0" xr:uid="{42812F68-98D7-4B1C-A2BA-695F20654307}">
      <text>
        <r>
          <rPr>
            <b/>
            <sz val="9"/>
            <color indexed="81"/>
            <rFont val="細明體"/>
            <family val="3"/>
            <charset val="136"/>
          </rPr>
          <t>簡莉如</t>
        </r>
        <r>
          <rPr>
            <b/>
            <sz val="9"/>
            <color indexed="81"/>
            <rFont val="Tahoma"/>
            <family val="2"/>
          </rPr>
          <t xml:space="preserve">:
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管總</t>
        </r>
        <r>
          <rPr>
            <sz val="9"/>
            <color indexed="81"/>
            <rFont val="Tahoma"/>
            <family val="2"/>
          </rPr>
          <t xml:space="preserve">-27D-102,038,874
</t>
        </r>
        <r>
          <rPr>
            <sz val="9"/>
            <color indexed="81"/>
            <rFont val="細明體"/>
            <family val="3"/>
            <charset val="136"/>
          </rPr>
          <t>雜項業務</t>
        </r>
        <r>
          <rPr>
            <sz val="9"/>
            <color indexed="81"/>
            <rFont val="Tahoma"/>
            <family val="2"/>
          </rPr>
          <t xml:space="preserve">-27D-1,829,435
</t>
        </r>
        <r>
          <rPr>
            <sz val="9"/>
            <color indexed="81"/>
            <rFont val="細明體"/>
            <family val="3"/>
            <charset val="136"/>
          </rPr>
          <t>雜項</t>
        </r>
        <r>
          <rPr>
            <sz val="9"/>
            <color indexed="81"/>
            <rFont val="Tahoma"/>
            <family val="2"/>
          </rPr>
          <t>-27D-15,498,907
510301-27D-T</t>
        </r>
        <r>
          <rPr>
            <sz val="9"/>
            <color indexed="81"/>
            <rFont val="細明體"/>
            <family val="3"/>
            <charset val="136"/>
          </rPr>
          <t>類</t>
        </r>
        <r>
          <rPr>
            <sz val="9"/>
            <color indexed="81"/>
            <rFont val="Tahoma"/>
            <family val="2"/>
          </rPr>
          <t>-145,496,528
510301-27D-M</t>
        </r>
        <r>
          <rPr>
            <sz val="9"/>
            <color indexed="81"/>
            <rFont val="細明體"/>
            <family val="3"/>
            <charset val="136"/>
          </rPr>
          <t>類</t>
        </r>
        <r>
          <rPr>
            <sz val="9"/>
            <color indexed="81"/>
            <rFont val="Tahoma"/>
            <family val="2"/>
          </rPr>
          <t>-37,630,391
510301-27D-E</t>
        </r>
        <r>
          <rPr>
            <sz val="9"/>
            <color indexed="81"/>
            <rFont val="細明體"/>
            <family val="3"/>
            <charset val="136"/>
          </rPr>
          <t>類</t>
        </r>
        <r>
          <rPr>
            <sz val="9"/>
            <color indexed="81"/>
            <rFont val="Tahoma"/>
            <family val="2"/>
          </rPr>
          <t>-2,314,752</t>
        </r>
      </text>
    </comment>
    <comment ref="M78" authorId="3" shapeId="0" xr:uid="{C3C1F97F-400A-4506-9EBD-6BB326FBE54E}">
      <text>
        <r>
          <rPr>
            <b/>
            <sz val="9"/>
            <color indexed="81"/>
            <rFont val="細明體"/>
            <family val="3"/>
            <charset val="136"/>
          </rPr>
          <t>簡莉如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S</t>
        </r>
        <r>
          <rPr>
            <sz val="9"/>
            <color indexed="81"/>
            <rFont val="細明體"/>
            <family val="3"/>
            <charset val="136"/>
          </rPr>
          <t>類預算內收支表2713數字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簡莉如</author>
    <author>ACC064</author>
  </authors>
  <commentList>
    <comment ref="A1" authorId="0" shapeId="0" xr:uid="{A2D21BE7-E594-4AB1-A4BE-732357A47A47}">
      <text>
        <r>
          <rPr>
            <b/>
            <sz val="9"/>
            <color indexed="81"/>
            <rFont val="細明體"/>
            <family val="3"/>
            <charset val="136"/>
          </rPr>
          <t>簡莉如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預算書-購建固定資產預算彙計表</t>
        </r>
      </text>
    </comment>
    <comment ref="K5" authorId="1" shapeId="0" xr:uid="{EB2C7910-279B-484E-88E8-55FCD32D4048}">
      <text>
        <r>
          <rPr>
            <sz val="9"/>
            <color indexed="81"/>
            <rFont val="細明體"/>
            <family val="3"/>
            <charset val="136"/>
          </rPr>
          <t>校本部：36,000千元
附設農林畜牧作業組織：9,000千元。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簡莉如</author>
  </authors>
  <commentList>
    <comment ref="H73" authorId="0" shapeId="0" xr:uid="{BA76EE0D-86D1-4366-A284-96D52BF046CD}">
      <text>
        <r>
          <rPr>
            <b/>
            <sz val="9"/>
            <color indexed="81"/>
            <rFont val="細明體"/>
            <family val="3"/>
            <charset val="136"/>
          </rPr>
          <t>簡莉如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看歲出預算分配實際請款</t>
        </r>
      </text>
    </comment>
    <comment ref="H76" authorId="0" shapeId="0" xr:uid="{097F012B-772A-4E69-912E-E35521FF4ADF}">
      <text>
        <r>
          <rPr>
            <b/>
            <sz val="9"/>
            <color indexed="81"/>
            <rFont val="細明體"/>
            <family val="3"/>
            <charset val="136"/>
          </rPr>
          <t>簡莉如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112-650,939
113-104,583
(113未請-方舟30,320
113未請-南投695,306)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簡莉如</author>
  </authors>
  <commentList>
    <comment ref="D62" authorId="0" shapeId="0" xr:uid="{64EAAA63-BB5A-44C3-A21B-ABF30B21BC3F}">
      <text>
        <r>
          <rPr>
            <b/>
            <sz val="9"/>
            <color indexed="81"/>
            <rFont val="細明體"/>
            <family val="3"/>
            <charset val="136"/>
          </rPr>
          <t>簡莉如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通報</t>
        </r>
      </text>
    </comment>
    <comment ref="D63" authorId="0" shapeId="0" xr:uid="{1058FF00-ACAF-4474-ABC8-58BAE4987CCA}">
      <text>
        <r>
          <rPr>
            <b/>
            <sz val="9"/>
            <color indexed="81"/>
            <rFont val="細明體"/>
            <family val="3"/>
            <charset val="136"/>
          </rPr>
          <t>簡莉如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跟慧婷要(含固資及無形)</t>
        </r>
      </text>
    </comment>
  </commentList>
</comments>
</file>

<file path=xl/sharedStrings.xml><?xml version="1.0" encoding="utf-8"?>
<sst xmlns="http://schemas.openxmlformats.org/spreadsheetml/2006/main" count="790" uniqueCount="208">
  <si>
    <t>項目</t>
    <phoneticPr fontId="2" type="noConversion"/>
  </si>
  <si>
    <t>合計</t>
    <phoneticPr fontId="2" type="noConversion"/>
  </si>
  <si>
    <r>
      <t xml:space="preserve">    </t>
    </r>
    <r>
      <rPr>
        <sz val="12"/>
        <rFont val="新細明體"/>
        <family val="1"/>
        <charset val="136"/>
      </rPr>
      <t>教師</t>
    </r>
    <phoneticPr fontId="2" type="noConversion"/>
  </si>
  <si>
    <t>經常支出</t>
    <phoneticPr fontId="2" type="noConversion"/>
  </si>
  <si>
    <t>資本支出</t>
    <phoneticPr fontId="2" type="noConversion"/>
  </si>
  <si>
    <t>校本部</t>
    <phoneticPr fontId="2" type="noConversion"/>
  </si>
  <si>
    <r>
      <t>2002年</t>
    </r>
    <r>
      <rPr>
        <sz val="12"/>
        <rFont val="細明體"/>
        <family val="3"/>
        <charset val="136"/>
      </rPr>
      <t/>
    </r>
  </si>
  <si>
    <r>
      <t>2003年</t>
    </r>
    <r>
      <rPr>
        <sz val="12"/>
        <rFont val="細明體"/>
        <family val="3"/>
        <charset val="136"/>
      </rPr>
      <t/>
    </r>
  </si>
  <si>
    <r>
      <t>2004年</t>
    </r>
    <r>
      <rPr>
        <sz val="12"/>
        <rFont val="細明體"/>
        <family val="3"/>
        <charset val="136"/>
      </rPr>
      <t/>
    </r>
  </si>
  <si>
    <r>
      <t>2005年</t>
    </r>
    <r>
      <rPr>
        <sz val="12"/>
        <rFont val="細明體"/>
        <family val="3"/>
        <charset val="136"/>
      </rPr>
      <t/>
    </r>
  </si>
  <si>
    <r>
      <t>2006年</t>
    </r>
    <r>
      <rPr>
        <sz val="12"/>
        <rFont val="細明體"/>
        <family val="3"/>
        <charset val="136"/>
      </rPr>
      <t/>
    </r>
  </si>
  <si>
    <r>
      <t>2008年</t>
    </r>
    <r>
      <rPr>
        <sz val="12"/>
        <rFont val="細明體"/>
        <family val="3"/>
        <charset val="136"/>
      </rPr>
      <t/>
    </r>
  </si>
  <si>
    <r>
      <t>2009年</t>
    </r>
    <r>
      <rPr>
        <sz val="12"/>
        <rFont val="細明體"/>
        <family val="3"/>
        <charset val="136"/>
      </rPr>
      <t/>
    </r>
  </si>
  <si>
    <r>
      <t>2010年</t>
    </r>
    <r>
      <rPr>
        <sz val="12"/>
        <rFont val="細明體"/>
        <family val="3"/>
        <charset val="136"/>
      </rPr>
      <t/>
    </r>
  </si>
  <si>
    <r>
      <t>2011年</t>
    </r>
    <r>
      <rPr>
        <sz val="12"/>
        <rFont val="細明體"/>
        <family val="3"/>
        <charset val="136"/>
      </rPr>
      <t/>
    </r>
  </si>
  <si>
    <r>
      <t>2012年</t>
    </r>
    <r>
      <rPr>
        <sz val="12"/>
        <rFont val="細明體"/>
        <family val="3"/>
        <charset val="136"/>
      </rPr>
      <t/>
    </r>
  </si>
  <si>
    <t>農林畜牧
作業組織</t>
    <phoneticPr fontId="2" type="noConversion"/>
  </si>
  <si>
    <t>業務費用</t>
  </si>
  <si>
    <t>經常門</t>
    <phoneticPr fontId="2" type="noConversion"/>
  </si>
  <si>
    <t>總計</t>
    <phoneticPr fontId="2" type="noConversion"/>
  </si>
  <si>
    <t>收入</t>
    <phoneticPr fontId="2" type="noConversion"/>
  </si>
  <si>
    <t>支出</t>
    <phoneticPr fontId="2" type="noConversion"/>
  </si>
  <si>
    <t>本期餘絀</t>
    <phoneticPr fontId="2" type="noConversion"/>
  </si>
  <si>
    <t>教育部核定經費</t>
  </si>
  <si>
    <t>教育部累計已核撥數金額</t>
  </si>
  <si>
    <t>經常門</t>
  </si>
  <si>
    <t>資本門</t>
  </si>
  <si>
    <t>合計</t>
  </si>
  <si>
    <r>
      <t>2007年</t>
    </r>
    <r>
      <rPr>
        <sz val="12"/>
        <rFont val="細明體"/>
        <family val="3"/>
        <charset val="136"/>
      </rPr>
      <t/>
    </r>
  </si>
  <si>
    <t>年度</t>
    <phoneticPr fontId="2" type="noConversion"/>
  </si>
  <si>
    <t>項目</t>
    <phoneticPr fontId="2" type="noConversion"/>
  </si>
  <si>
    <t xml:space="preserve"> 單位：千元</t>
  </si>
  <si>
    <r>
      <t xml:space="preserve"> </t>
    </r>
    <r>
      <rPr>
        <sz val="12"/>
        <rFont val="細明體"/>
        <family val="3"/>
        <charset val="136"/>
      </rPr>
      <t>單位：千元</t>
    </r>
  </si>
  <si>
    <r>
      <t>2001</t>
    </r>
    <r>
      <rPr>
        <sz val="12"/>
        <rFont val="細明體"/>
        <family val="3"/>
        <charset val="136"/>
      </rPr>
      <t>年</t>
    </r>
    <phoneticPr fontId="2" type="noConversion"/>
  </si>
  <si>
    <t>校本部</t>
  </si>
  <si>
    <t>農林畜牧作業組織</t>
    <phoneticPr fontId="2" type="noConversion"/>
  </si>
  <si>
    <t>學校教學研究補助收入</t>
  </si>
  <si>
    <t>無形資產</t>
  </si>
  <si>
    <t>其他固定資產</t>
  </si>
  <si>
    <t>遞延費用</t>
  </si>
  <si>
    <t>營建工程補助款</t>
  </si>
  <si>
    <t>電費</t>
  </si>
  <si>
    <t>水費</t>
  </si>
  <si>
    <r>
      <t xml:space="preserve"> </t>
    </r>
    <r>
      <rPr>
        <sz val="10"/>
        <rFont val="細明體"/>
        <family val="3"/>
        <charset val="136"/>
      </rPr>
      <t>單位：千元</t>
    </r>
    <phoneticPr fontId="2" type="noConversion"/>
  </si>
  <si>
    <r>
      <t>彈性薪資</t>
    </r>
    <r>
      <rPr>
        <sz val="12"/>
        <rFont val="Times New Roman"/>
        <family val="1"/>
      </rPr>
      <t>-</t>
    </r>
    <r>
      <rPr>
        <sz val="12"/>
        <rFont val="細明體"/>
        <family val="3"/>
        <charset val="136"/>
      </rPr>
      <t>科技部</t>
    </r>
    <phoneticPr fontId="2" type="noConversion"/>
  </si>
  <si>
    <t>行政人員</t>
  </si>
  <si>
    <t>小計</t>
    <phoneticPr fontId="2" type="noConversion"/>
  </si>
  <si>
    <t>行政人員</t>
    <phoneticPr fontId="2" type="noConversion"/>
  </si>
  <si>
    <t>勞力外包</t>
    <phoneticPr fontId="2" type="noConversion"/>
  </si>
  <si>
    <t>計畫人員</t>
    <phoneticPr fontId="2" type="noConversion"/>
  </si>
  <si>
    <t>用人費用</t>
  </si>
  <si>
    <t>學雜費收入</t>
  </si>
  <si>
    <t>租金及權利金收入</t>
  </si>
  <si>
    <t>醫療收入</t>
  </si>
  <si>
    <t>教育部教學研究補助收入</t>
  </si>
  <si>
    <t>其他補助收入</t>
  </si>
  <si>
    <t>其他收入</t>
  </si>
  <si>
    <t>其他</t>
  </si>
  <si>
    <t>建教合作收入</t>
  </si>
  <si>
    <t>資產使用及權利金收入</t>
  </si>
  <si>
    <t>利息收入</t>
  </si>
  <si>
    <t>服務收入</t>
    <phoneticPr fontId="2" type="noConversion"/>
  </si>
  <si>
    <r>
      <t xml:space="preserve"> </t>
    </r>
    <r>
      <rPr>
        <sz val="10"/>
        <rFont val="新細明體"/>
        <family val="1"/>
        <charset val="136"/>
      </rPr>
      <t>推廣教育收入</t>
    </r>
  </si>
  <si>
    <t>受贈收入</t>
    <phoneticPr fontId="2" type="noConversion"/>
  </si>
  <si>
    <t>校本部</t>
    <phoneticPr fontId="2" type="noConversion"/>
  </si>
  <si>
    <t>農林畜牧
作業組織</t>
    <phoneticPr fontId="2" type="noConversion"/>
  </si>
  <si>
    <t>合計</t>
    <phoneticPr fontId="2" type="noConversion"/>
  </si>
  <si>
    <t xml:space="preserve"> </t>
    <phoneticPr fontId="2" type="noConversion"/>
  </si>
  <si>
    <t>服務成本</t>
    <phoneticPr fontId="2" type="noConversion"/>
  </si>
  <si>
    <t>教學研究及訓輔成本</t>
    <phoneticPr fontId="2" type="noConversion"/>
  </si>
  <si>
    <t>建教合作成本</t>
    <phoneticPr fontId="2" type="noConversion"/>
  </si>
  <si>
    <t>推廣教育成本</t>
    <phoneticPr fontId="2" type="noConversion"/>
  </si>
  <si>
    <t>醫療成本</t>
    <phoneticPr fontId="2" type="noConversion"/>
  </si>
  <si>
    <t>學生公費及獎勵金</t>
    <phoneticPr fontId="2" type="noConversion"/>
  </si>
  <si>
    <t>管理及總務費用</t>
    <phoneticPr fontId="2" type="noConversion"/>
  </si>
  <si>
    <t>研究發展費用</t>
    <phoneticPr fontId="2" type="noConversion"/>
  </si>
  <si>
    <t>雜項業務費用</t>
    <phoneticPr fontId="2" type="noConversion"/>
  </si>
  <si>
    <t>利息費用</t>
    <phoneticPr fontId="2" type="noConversion"/>
  </si>
  <si>
    <t>雜項費用</t>
    <phoneticPr fontId="2" type="noConversion"/>
  </si>
  <si>
    <t>土地</t>
    <phoneticPr fontId="2" type="noConversion"/>
  </si>
  <si>
    <t>土地改良物</t>
    <phoneticPr fontId="2" type="noConversion"/>
  </si>
  <si>
    <t>房屋及建築</t>
    <phoneticPr fontId="2" type="noConversion"/>
  </si>
  <si>
    <t>機械及設備</t>
    <phoneticPr fontId="2" type="noConversion"/>
  </si>
  <si>
    <t>交通及運輸設備</t>
    <phoneticPr fontId="2" type="noConversion"/>
  </si>
  <si>
    <t>什項設備</t>
    <phoneticPr fontId="2" type="noConversion"/>
  </si>
  <si>
    <t>無形資產</t>
    <phoneticPr fontId="2" type="noConversion"/>
  </si>
  <si>
    <t>遞延借項</t>
    <phoneticPr fontId="2" type="noConversion"/>
  </si>
  <si>
    <t>遞秏資產</t>
  </si>
  <si>
    <t>語言中心大樓重建工程</t>
  </si>
  <si>
    <t>食科暨生物科技大樓重建工程</t>
  </si>
  <si>
    <t>社會科學暨管理學院大樓新建工程</t>
  </si>
  <si>
    <t>中科研發暨創業育成中心新建工程</t>
  </si>
  <si>
    <t xml:space="preserve">動物實驗研究中心   </t>
  </si>
  <si>
    <t>防檢大樓增建工程</t>
  </si>
  <si>
    <t>國際農業研究中心大樓新建工程</t>
  </si>
  <si>
    <t>人文大樓新建工程</t>
  </si>
  <si>
    <t>應用科技大樓新建工程</t>
  </si>
  <si>
    <t>女生宿舍誠軒大樓新建工程</t>
  </si>
  <si>
    <t>興大二村男生宿舍新建工程</t>
  </si>
  <si>
    <t>獸醫教學醫院向上分院新建工程</t>
  </si>
  <si>
    <t>食品暨生技實習工廠興建工程</t>
  </si>
  <si>
    <t>雜項業務成本</t>
    <phoneticPr fontId="2" type="noConversion"/>
  </si>
  <si>
    <r>
      <t>2001</t>
    </r>
    <r>
      <rPr>
        <sz val="12"/>
        <color indexed="8"/>
        <rFont val="細明體"/>
        <family val="3"/>
        <charset val="136"/>
      </rPr>
      <t>年</t>
    </r>
  </si>
  <si>
    <r>
      <t>2006</t>
    </r>
    <r>
      <rPr>
        <sz val="12"/>
        <color indexed="8"/>
        <rFont val="細明體"/>
        <family val="3"/>
        <charset val="136"/>
      </rPr>
      <t>年</t>
    </r>
  </si>
  <si>
    <r>
      <t xml:space="preserve"> </t>
    </r>
    <r>
      <rPr>
        <sz val="10"/>
        <rFont val="新細明體"/>
        <family val="1"/>
        <charset val="136"/>
      </rPr>
      <t>教育部年度補助款</t>
    </r>
    <r>
      <rPr>
        <sz val="10"/>
        <rFont val="Times New Roman"/>
        <family val="1"/>
      </rPr>
      <t>(</t>
    </r>
    <r>
      <rPr>
        <sz val="10"/>
        <rFont val="新細明體"/>
        <family val="1"/>
        <charset val="136"/>
      </rPr>
      <t>含專項工程</t>
    </r>
    <r>
      <rPr>
        <sz val="10"/>
        <rFont val="Times New Roman"/>
        <family val="1"/>
      </rPr>
      <t>)</t>
    </r>
    <phoneticPr fontId="2" type="noConversion"/>
  </si>
  <si>
    <r>
      <t>表</t>
    </r>
    <r>
      <rPr>
        <b/>
        <sz val="14"/>
        <rFont val="Times New Roman"/>
        <family val="1"/>
      </rPr>
      <t>7-5</t>
    </r>
    <r>
      <rPr>
        <b/>
        <sz val="14"/>
        <rFont val="新細明體"/>
        <family val="1"/>
        <charset val="136"/>
      </rPr>
      <t>：歷年水電費支出</t>
    </r>
    <phoneticPr fontId="2" type="noConversion"/>
  </si>
  <si>
    <t>本期現金結餘</t>
  </si>
  <si>
    <r>
      <t xml:space="preserve">加：折舊折耗
 </t>
    </r>
    <r>
      <rPr>
        <sz val="12"/>
        <rFont val="新細明體"/>
        <family val="1"/>
        <charset val="136"/>
      </rPr>
      <t xml:space="preserve">       </t>
    </r>
    <r>
      <rPr>
        <sz val="12"/>
        <rFont val="新細明體"/>
        <family val="1"/>
        <charset val="136"/>
      </rPr>
      <t>及攤銷</t>
    </r>
    <phoneticPr fontId="2" type="noConversion"/>
  </si>
  <si>
    <r>
      <t>2013</t>
    </r>
    <r>
      <rPr>
        <sz val="12"/>
        <rFont val="細明體"/>
        <family val="3"/>
        <charset val="136"/>
      </rPr>
      <t>年</t>
    </r>
    <phoneticPr fontId="2" type="noConversion"/>
  </si>
  <si>
    <r>
      <t>2014</t>
    </r>
    <r>
      <rPr>
        <sz val="12"/>
        <rFont val="細明體"/>
        <family val="3"/>
        <charset val="136"/>
      </rPr>
      <t>年</t>
    </r>
    <phoneticPr fontId="2" type="noConversion"/>
  </si>
  <si>
    <r>
      <t>2014</t>
    </r>
    <r>
      <rPr>
        <sz val="12"/>
        <rFont val="細明體"/>
        <family val="3"/>
        <charset val="136"/>
      </rPr>
      <t>年</t>
    </r>
    <phoneticPr fontId="2" type="noConversion"/>
  </si>
  <si>
    <t>財產交易短絀</t>
    <phoneticPr fontId="2" type="noConversion"/>
  </si>
  <si>
    <r>
      <t>2016</t>
    </r>
    <r>
      <rPr>
        <sz val="12"/>
        <rFont val="細明體"/>
        <family val="3"/>
        <charset val="136"/>
      </rPr>
      <t xml:space="preserve">年
</t>
    </r>
    <r>
      <rPr>
        <sz val="12"/>
        <rFont val="Times New Roman"/>
        <family val="1"/>
      </rPr>
      <t>(</t>
    </r>
    <r>
      <rPr>
        <sz val="12"/>
        <rFont val="細明體"/>
        <family val="3"/>
        <charset val="136"/>
      </rPr>
      <t>預算數</t>
    </r>
    <r>
      <rPr>
        <sz val="12"/>
        <rFont val="Times New Roman"/>
        <family val="1"/>
      </rPr>
      <t>)</t>
    </r>
    <phoneticPr fontId="2" type="noConversion"/>
  </si>
  <si>
    <r>
      <t xml:space="preserve">2016
</t>
    </r>
    <r>
      <rPr>
        <sz val="10"/>
        <rFont val="Times New Roman"/>
        <family val="1"/>
      </rPr>
      <t>(</t>
    </r>
    <r>
      <rPr>
        <sz val="10"/>
        <rFont val="細明體"/>
        <family val="3"/>
        <charset val="136"/>
      </rPr>
      <t>預算數</t>
    </r>
    <r>
      <rPr>
        <sz val="10"/>
        <rFont val="Times New Roman"/>
        <family val="1"/>
      </rPr>
      <t>)</t>
    </r>
    <r>
      <rPr>
        <sz val="12"/>
        <rFont val="Times New Roman"/>
        <family val="1"/>
      </rPr>
      <t xml:space="preserve">
</t>
    </r>
    <phoneticPr fontId="2" type="noConversion"/>
  </si>
  <si>
    <r>
      <t xml:space="preserve">2016
</t>
    </r>
    <r>
      <rPr>
        <sz val="10"/>
        <rFont val="Times New Roman"/>
        <family val="1"/>
      </rPr>
      <t>(</t>
    </r>
    <r>
      <rPr>
        <sz val="10"/>
        <rFont val="細明體"/>
        <family val="3"/>
        <charset val="136"/>
      </rPr>
      <t>預算數</t>
    </r>
    <r>
      <rPr>
        <sz val="10"/>
        <rFont val="Times New Roman"/>
        <family val="1"/>
      </rPr>
      <t>)</t>
    </r>
    <phoneticPr fontId="2" type="noConversion"/>
  </si>
  <si>
    <r>
      <t xml:space="preserve"> </t>
    </r>
    <r>
      <rPr>
        <sz val="12"/>
        <color indexed="8"/>
        <rFont val="標楷體"/>
        <family val="4"/>
        <charset val="136"/>
      </rPr>
      <t>單位：千元</t>
    </r>
    <phoneticPr fontId="2" type="noConversion"/>
  </si>
  <si>
    <t>年度</t>
    <phoneticPr fontId="2" type="noConversion"/>
  </si>
  <si>
    <t>項目</t>
    <phoneticPr fontId="2" type="noConversion"/>
  </si>
  <si>
    <t>預算編列數</t>
    <phoneticPr fontId="2" type="noConversion"/>
  </si>
  <si>
    <r>
      <t>2011</t>
    </r>
    <r>
      <rPr>
        <sz val="12"/>
        <color indexed="8"/>
        <rFont val="細明體"/>
        <family val="3"/>
        <charset val="136"/>
      </rPr>
      <t>年</t>
    </r>
    <r>
      <rPr>
        <sz val="12"/>
        <color indexed="8"/>
        <rFont val="Times New Roman"/>
        <family val="1"/>
      </rPr>
      <t>1-3</t>
    </r>
    <r>
      <rPr>
        <sz val="12"/>
        <color indexed="8"/>
        <rFont val="細明體"/>
        <family val="3"/>
        <charset val="136"/>
      </rPr>
      <t>月</t>
    </r>
    <phoneticPr fontId="2" type="noConversion"/>
  </si>
  <si>
    <r>
      <t>2011</t>
    </r>
    <r>
      <rPr>
        <sz val="12"/>
        <color indexed="8"/>
        <rFont val="細明體"/>
        <family val="3"/>
        <charset val="136"/>
      </rPr>
      <t>年</t>
    </r>
    <r>
      <rPr>
        <sz val="12"/>
        <color indexed="8"/>
        <rFont val="Times New Roman"/>
        <family val="1"/>
      </rPr>
      <t>4</t>
    </r>
    <r>
      <rPr>
        <sz val="12"/>
        <color indexed="8"/>
        <rFont val="細明體"/>
        <family val="3"/>
        <charset val="136"/>
      </rPr>
      <t>月</t>
    </r>
    <r>
      <rPr>
        <sz val="12"/>
        <color indexed="8"/>
        <rFont val="Times New Roman"/>
        <family val="1"/>
      </rPr>
      <t>-
2012</t>
    </r>
    <r>
      <rPr>
        <sz val="12"/>
        <color indexed="8"/>
        <rFont val="細明體"/>
        <family val="3"/>
        <charset val="136"/>
      </rPr>
      <t>年</t>
    </r>
    <r>
      <rPr>
        <sz val="12"/>
        <color indexed="8"/>
        <rFont val="Times New Roman"/>
        <family val="1"/>
      </rPr>
      <t>3</t>
    </r>
    <r>
      <rPr>
        <sz val="12"/>
        <color indexed="8"/>
        <rFont val="細明體"/>
        <family val="3"/>
        <charset val="136"/>
      </rPr>
      <t>月</t>
    </r>
    <phoneticPr fontId="2" type="noConversion"/>
  </si>
  <si>
    <r>
      <t>2012</t>
    </r>
    <r>
      <rPr>
        <sz val="12"/>
        <color indexed="8"/>
        <rFont val="細明體"/>
        <family val="3"/>
        <charset val="136"/>
      </rPr>
      <t>年</t>
    </r>
    <r>
      <rPr>
        <sz val="12"/>
        <color indexed="8"/>
        <rFont val="Times New Roman"/>
        <family val="1"/>
      </rPr>
      <t>4-12</t>
    </r>
    <r>
      <rPr>
        <sz val="12"/>
        <color indexed="8"/>
        <rFont val="細明體"/>
        <family val="3"/>
        <charset val="136"/>
      </rPr>
      <t>月</t>
    </r>
    <phoneticPr fontId="2" type="noConversion"/>
  </si>
  <si>
    <r>
      <t>2013</t>
    </r>
    <r>
      <rPr>
        <sz val="12"/>
        <color indexed="8"/>
        <rFont val="細明體"/>
        <family val="3"/>
        <charset val="136"/>
      </rPr>
      <t>年</t>
    </r>
    <r>
      <rPr>
        <sz val="12"/>
        <rFont val="Times New Roman"/>
        <family val="1"/>
      </rPr>
      <t/>
    </r>
    <phoneticPr fontId="2" type="noConversion"/>
  </si>
  <si>
    <r>
      <t>2014</t>
    </r>
    <r>
      <rPr>
        <sz val="12"/>
        <color indexed="8"/>
        <rFont val="細明體"/>
        <family val="3"/>
        <charset val="136"/>
      </rPr>
      <t>年</t>
    </r>
    <r>
      <rPr>
        <sz val="12"/>
        <rFont val="Times New Roman"/>
        <family val="1"/>
      </rPr>
      <t/>
    </r>
    <phoneticPr fontId="2" type="noConversion"/>
  </si>
  <si>
    <r>
      <t>2015</t>
    </r>
    <r>
      <rPr>
        <sz val="12"/>
        <color indexed="8"/>
        <rFont val="細明體"/>
        <family val="3"/>
        <charset val="136"/>
      </rPr>
      <t>年</t>
    </r>
    <r>
      <rPr>
        <sz val="12"/>
        <rFont val="Times New Roman"/>
        <family val="1"/>
      </rPr>
      <t/>
    </r>
    <phoneticPr fontId="2" type="noConversion"/>
  </si>
  <si>
    <r>
      <t>2016</t>
    </r>
    <r>
      <rPr>
        <sz val="12"/>
        <color indexed="8"/>
        <rFont val="細明體"/>
        <family val="3"/>
        <charset val="136"/>
      </rPr>
      <t>年</t>
    </r>
    <r>
      <rPr>
        <sz val="12"/>
        <rFont val="Times New Roman"/>
        <family val="1"/>
      </rPr>
      <t/>
    </r>
    <phoneticPr fontId="2" type="noConversion"/>
  </si>
  <si>
    <r>
      <t>2017</t>
    </r>
    <r>
      <rPr>
        <sz val="12"/>
        <color indexed="8"/>
        <rFont val="細明體"/>
        <family val="3"/>
        <charset val="136"/>
      </rPr>
      <t>年</t>
    </r>
    <r>
      <rPr>
        <sz val="12"/>
        <rFont val="Times New Roman"/>
        <family val="1"/>
      </rPr>
      <t/>
    </r>
    <phoneticPr fontId="2" type="noConversion"/>
  </si>
  <si>
    <r>
      <t>備註：</t>
    </r>
    <r>
      <rPr>
        <sz val="12"/>
        <color indexed="8"/>
        <rFont val="Times New Roman"/>
        <family val="1"/>
      </rPr>
      <t xml:space="preserve">1. </t>
    </r>
    <r>
      <rPr>
        <sz val="12"/>
        <color indexed="8"/>
        <rFont val="細明體"/>
        <family val="3"/>
        <charset val="136"/>
      </rPr>
      <t>發展國際一流大學及頂尖研究中心計畫總經費</t>
    </r>
    <r>
      <rPr>
        <sz val="12"/>
        <color indexed="8"/>
        <rFont val="Times New Roman"/>
        <family val="1"/>
      </rPr>
      <t>21.5</t>
    </r>
    <r>
      <rPr>
        <sz val="12"/>
        <color indexed="8"/>
        <rFont val="細明體"/>
        <family val="3"/>
        <charset val="136"/>
      </rPr>
      <t>億元</t>
    </r>
    <r>
      <rPr>
        <sz val="12"/>
        <color indexed="8"/>
        <rFont val="Times New Roman"/>
        <family val="1"/>
      </rPr>
      <t>(</t>
    </r>
    <r>
      <rPr>
        <sz val="12"/>
        <color indexed="8"/>
        <rFont val="細明體"/>
        <family val="3"/>
        <charset val="136"/>
      </rPr>
      <t>執行及期間</t>
    </r>
    <r>
      <rPr>
        <sz val="12"/>
        <color indexed="8"/>
        <rFont val="Times New Roman"/>
        <family val="1"/>
      </rPr>
      <t>2006</t>
    </r>
    <r>
      <rPr>
        <sz val="12"/>
        <color indexed="8"/>
        <rFont val="細明體"/>
        <family val="3"/>
        <charset val="136"/>
      </rPr>
      <t>年至</t>
    </r>
    <r>
      <rPr>
        <sz val="12"/>
        <color indexed="8"/>
        <rFont val="Times New Roman"/>
        <family val="1"/>
      </rPr>
      <t>2011</t>
    </r>
    <r>
      <rPr>
        <sz val="12"/>
        <color indexed="8"/>
        <rFont val="細明體"/>
        <family val="3"/>
        <charset val="136"/>
      </rPr>
      <t>年</t>
    </r>
    <r>
      <rPr>
        <sz val="12"/>
        <color indexed="8"/>
        <rFont val="Times New Roman"/>
        <family val="1"/>
      </rPr>
      <t>3</t>
    </r>
    <r>
      <rPr>
        <sz val="12"/>
        <color indexed="8"/>
        <rFont val="細明體"/>
        <family val="3"/>
        <charset val="136"/>
      </rPr>
      <t>月</t>
    </r>
    <r>
      <rPr>
        <sz val="12"/>
        <color indexed="8"/>
        <rFont val="Times New Roman"/>
        <family val="1"/>
      </rPr>
      <t xml:space="preserve">) </t>
    </r>
    <r>
      <rPr>
        <sz val="12"/>
        <color indexed="8"/>
        <rFont val="細明體"/>
        <family val="3"/>
        <charset val="136"/>
      </rPr>
      <t>。</t>
    </r>
    <phoneticPr fontId="2" type="noConversion"/>
  </si>
  <si>
    <r>
      <t>2015</t>
    </r>
    <r>
      <rPr>
        <sz val="12"/>
        <rFont val="細明體"/>
        <family val="3"/>
        <charset val="136"/>
      </rPr>
      <t>年</t>
    </r>
    <r>
      <rPr>
        <sz val="12"/>
        <rFont val="Times New Roman"/>
        <family val="1"/>
      </rPr>
      <t/>
    </r>
    <phoneticPr fontId="2" type="noConversion"/>
  </si>
  <si>
    <r>
      <t>2016</t>
    </r>
    <r>
      <rPr>
        <sz val="12"/>
        <rFont val="細明體"/>
        <family val="3"/>
        <charset val="136"/>
      </rPr>
      <t>年</t>
    </r>
    <r>
      <rPr>
        <sz val="12"/>
        <rFont val="Times New Roman"/>
        <family val="1"/>
      </rPr>
      <t/>
    </r>
    <phoneticPr fontId="2" type="noConversion"/>
  </si>
  <si>
    <r>
      <t>2017</t>
    </r>
    <r>
      <rPr>
        <sz val="12"/>
        <rFont val="細明體"/>
        <family val="3"/>
        <charset val="136"/>
      </rPr>
      <t>年</t>
    </r>
    <r>
      <rPr>
        <sz val="12"/>
        <rFont val="Times New Roman"/>
        <family val="1"/>
      </rPr>
      <t/>
    </r>
    <phoneticPr fontId="2" type="noConversion"/>
  </si>
  <si>
    <r>
      <t>2016</t>
    </r>
    <r>
      <rPr>
        <sz val="12"/>
        <rFont val="細明體"/>
        <family val="3"/>
        <charset val="136"/>
      </rPr>
      <t>年</t>
    </r>
    <r>
      <rPr>
        <sz val="12"/>
        <rFont val="Times New Roman"/>
        <family val="1"/>
      </rPr>
      <t/>
    </r>
    <phoneticPr fontId="2" type="noConversion"/>
  </si>
  <si>
    <t>農產品銷貨收入</t>
    <phoneticPr fontId="2" type="noConversion"/>
  </si>
  <si>
    <t>農產品銷貨成本</t>
    <phoneticPr fontId="2" type="noConversion"/>
  </si>
  <si>
    <r>
      <t>2018</t>
    </r>
    <r>
      <rPr>
        <sz val="12"/>
        <rFont val="細明體"/>
        <family val="3"/>
        <charset val="136"/>
      </rPr>
      <t>年</t>
    </r>
    <r>
      <rPr>
        <sz val="12"/>
        <rFont val="Times New Roman"/>
        <family val="1"/>
      </rPr>
      <t/>
    </r>
    <phoneticPr fontId="2" type="noConversion"/>
  </si>
  <si>
    <r>
      <t>表</t>
    </r>
    <r>
      <rPr>
        <b/>
        <sz val="14"/>
        <rFont val="Times New Roman"/>
        <family val="1"/>
      </rPr>
      <t>7-6</t>
    </r>
    <r>
      <rPr>
        <b/>
        <sz val="14"/>
        <rFont val="新細明體"/>
        <family val="1"/>
        <charset val="136"/>
      </rPr>
      <t>：歷年新建工程明細表</t>
    </r>
    <phoneticPr fontId="2" type="noConversion"/>
  </si>
  <si>
    <t>經費來源</t>
    <phoneticPr fontId="2" type="noConversion"/>
  </si>
  <si>
    <t>圖書館重建工程</t>
    <phoneticPr fontId="2" type="noConversion"/>
  </si>
  <si>
    <t>第二餐廳</t>
    <phoneticPr fontId="2" type="noConversion"/>
  </si>
  <si>
    <t>興大實驗林學生實習館工程</t>
    <phoneticPr fontId="2" type="noConversion"/>
  </si>
  <si>
    <t>青少年活動中心工程</t>
    <phoneticPr fontId="2" type="noConversion"/>
  </si>
  <si>
    <t>惠蓀林場第二實習館重建工程</t>
    <phoneticPr fontId="2" type="noConversion"/>
  </si>
  <si>
    <t>國庫補助</t>
    <phoneticPr fontId="2" type="noConversion"/>
  </si>
  <si>
    <t>校務基金自籌</t>
    <phoneticPr fontId="2" type="noConversion"/>
  </si>
  <si>
    <t>各年度預算編列數</t>
    <phoneticPr fontId="2" type="noConversion"/>
  </si>
  <si>
    <t>備註：各工程摘要說明</t>
    <phoneticPr fontId="2" type="noConversion"/>
  </si>
  <si>
    <r>
      <t>1</t>
    </r>
    <r>
      <rPr>
        <sz val="12"/>
        <rFont val="新細明體"/>
        <family val="1"/>
        <charset val="136"/>
      </rPr>
      <t>、圖書館重建工程於</t>
    </r>
    <r>
      <rPr>
        <sz val="12"/>
        <rFont val="Times New Roman"/>
        <family val="1"/>
      </rPr>
      <t>88</t>
    </r>
    <r>
      <rPr>
        <sz val="12"/>
        <rFont val="新細明體"/>
        <family val="1"/>
        <charset val="136"/>
      </rPr>
      <t>下半年及</t>
    </r>
    <r>
      <rPr>
        <sz val="12"/>
        <rFont val="Times New Roman"/>
        <family val="1"/>
      </rPr>
      <t>89</t>
    </r>
    <r>
      <rPr>
        <sz val="12"/>
        <rFont val="新細明體"/>
        <family val="1"/>
        <charset val="136"/>
      </rPr>
      <t>年度編列經費</t>
    </r>
    <r>
      <rPr>
        <sz val="12"/>
        <rFont val="Times New Roman"/>
        <family val="1"/>
      </rPr>
      <t>165,825</t>
    </r>
    <r>
      <rPr>
        <sz val="12"/>
        <rFont val="新細明體"/>
        <family val="1"/>
        <charset val="136"/>
      </rPr>
      <t>千元。</t>
    </r>
    <phoneticPr fontId="2" type="noConversion"/>
  </si>
  <si>
    <r>
      <t>2</t>
    </r>
    <r>
      <rPr>
        <sz val="12"/>
        <rFont val="新細明體"/>
        <family val="1"/>
        <charset val="136"/>
      </rPr>
      <t>、食品暨生物科技大樓重建工程於</t>
    </r>
    <r>
      <rPr>
        <sz val="12"/>
        <rFont val="Times New Roman"/>
        <family val="1"/>
      </rPr>
      <t>88</t>
    </r>
    <r>
      <rPr>
        <sz val="12"/>
        <rFont val="新細明體"/>
        <family val="1"/>
        <charset val="136"/>
      </rPr>
      <t>下半年及</t>
    </r>
    <r>
      <rPr>
        <sz val="12"/>
        <rFont val="Times New Roman"/>
        <family val="1"/>
      </rPr>
      <t>89</t>
    </r>
    <r>
      <rPr>
        <sz val="12"/>
        <rFont val="新細明體"/>
        <family val="1"/>
        <charset val="136"/>
      </rPr>
      <t>年度九二一震災復建經費編列</t>
    </r>
    <r>
      <rPr>
        <sz val="12"/>
        <rFont val="Times New Roman"/>
        <family val="1"/>
      </rPr>
      <t>103,730</t>
    </r>
    <r>
      <rPr>
        <sz val="12"/>
        <rFont val="新細明體"/>
        <family val="1"/>
        <charset val="136"/>
      </rPr>
      <t>千元</t>
    </r>
    <phoneticPr fontId="2" type="noConversion"/>
  </si>
  <si>
    <r>
      <t>3</t>
    </r>
    <r>
      <rPr>
        <sz val="12"/>
        <rFont val="新細明體"/>
        <family val="1"/>
        <charset val="136"/>
      </rPr>
      <t>、國際農業研究中心大樓新建工程總經費為</t>
    </r>
    <r>
      <rPr>
        <sz val="12"/>
        <rFont val="Times New Roman"/>
        <family val="1"/>
      </rPr>
      <t>464,634</t>
    </r>
    <r>
      <rPr>
        <sz val="12"/>
        <rFont val="新細明體"/>
        <family val="1"/>
        <charset val="136"/>
      </rPr>
      <t>千元，因於</t>
    </r>
    <r>
      <rPr>
        <sz val="12"/>
        <rFont val="Times New Roman"/>
        <family val="1"/>
      </rPr>
      <t>103</t>
    </r>
    <r>
      <rPr>
        <sz val="12"/>
        <rFont val="新細明體"/>
        <family val="1"/>
        <charset val="136"/>
      </rPr>
      <t>年度整體工程實際發包數已編列完竣，其餘經費</t>
    </r>
    <r>
      <rPr>
        <sz val="12"/>
        <rFont val="Times New Roman"/>
        <family val="1"/>
      </rPr>
      <t>74,395</t>
    </r>
    <r>
      <rPr>
        <sz val="12"/>
        <rFont val="新細明體"/>
        <family val="1"/>
        <charset val="136"/>
      </rPr>
      <t>千元不再編列。</t>
    </r>
    <phoneticPr fontId="2" type="noConversion"/>
  </si>
  <si>
    <t>年度</t>
    <phoneticPr fontId="2" type="noConversion"/>
  </si>
  <si>
    <t>項目</t>
    <phoneticPr fontId="2" type="noConversion"/>
  </si>
  <si>
    <t>農林畜牧作業組織</t>
    <phoneticPr fontId="2" type="noConversion"/>
  </si>
  <si>
    <r>
      <t>2013</t>
    </r>
    <r>
      <rPr>
        <sz val="12"/>
        <color indexed="8"/>
        <rFont val="細明體"/>
        <family val="3"/>
        <charset val="136"/>
      </rPr>
      <t>年</t>
    </r>
    <r>
      <rPr>
        <sz val="12"/>
        <rFont val="細明體"/>
        <family val="3"/>
        <charset val="136"/>
      </rPr>
      <t/>
    </r>
    <phoneticPr fontId="2" type="noConversion"/>
  </si>
  <si>
    <r>
      <t>2014</t>
    </r>
    <r>
      <rPr>
        <sz val="12"/>
        <color indexed="8"/>
        <rFont val="細明體"/>
        <family val="3"/>
        <charset val="136"/>
      </rPr>
      <t>年</t>
    </r>
    <r>
      <rPr>
        <sz val="12"/>
        <rFont val="細明體"/>
        <family val="3"/>
        <charset val="136"/>
      </rPr>
      <t/>
    </r>
    <phoneticPr fontId="2" type="noConversion"/>
  </si>
  <si>
    <r>
      <t>2015</t>
    </r>
    <r>
      <rPr>
        <sz val="12"/>
        <color indexed="8"/>
        <rFont val="細明體"/>
        <family val="3"/>
        <charset val="136"/>
      </rPr>
      <t>年</t>
    </r>
    <r>
      <rPr>
        <sz val="12"/>
        <color indexed="8"/>
        <rFont val="Times New Roman"/>
        <family val="1"/>
      </rPr>
      <t/>
    </r>
    <phoneticPr fontId="2" type="noConversion"/>
  </si>
  <si>
    <r>
      <t>2016</t>
    </r>
    <r>
      <rPr>
        <sz val="12"/>
        <color indexed="8"/>
        <rFont val="細明體"/>
        <family val="3"/>
        <charset val="136"/>
      </rPr>
      <t xml:space="preserve">年
</t>
    </r>
    <r>
      <rPr>
        <sz val="12"/>
        <color indexed="8"/>
        <rFont val="Times New Roman"/>
        <family val="1"/>
      </rPr>
      <t>(</t>
    </r>
    <r>
      <rPr>
        <sz val="12"/>
        <color indexed="8"/>
        <rFont val="細明體"/>
        <family val="3"/>
        <charset val="136"/>
      </rPr>
      <t>預算數</t>
    </r>
    <r>
      <rPr>
        <sz val="12"/>
        <color indexed="8"/>
        <rFont val="Times New Roman"/>
        <family val="1"/>
      </rPr>
      <t>)</t>
    </r>
    <phoneticPr fontId="2" type="noConversion"/>
  </si>
  <si>
    <r>
      <t>2016</t>
    </r>
    <r>
      <rPr>
        <sz val="12"/>
        <color indexed="8"/>
        <rFont val="細明體"/>
        <family val="3"/>
        <charset val="136"/>
      </rPr>
      <t>年</t>
    </r>
    <r>
      <rPr>
        <sz val="12"/>
        <color indexed="8"/>
        <rFont val="Times New Roman"/>
        <family val="1"/>
      </rPr>
      <t/>
    </r>
    <phoneticPr fontId="2" type="noConversion"/>
  </si>
  <si>
    <r>
      <t>2017</t>
    </r>
    <r>
      <rPr>
        <sz val="12"/>
        <color indexed="8"/>
        <rFont val="細明體"/>
        <family val="3"/>
        <charset val="136"/>
      </rPr>
      <t>年</t>
    </r>
    <r>
      <rPr>
        <sz val="12"/>
        <color indexed="8"/>
        <rFont val="Times New Roman"/>
        <family val="1"/>
      </rPr>
      <t/>
    </r>
    <phoneticPr fontId="2" type="noConversion"/>
  </si>
  <si>
    <r>
      <t>2018</t>
    </r>
    <r>
      <rPr>
        <sz val="12"/>
        <color indexed="8"/>
        <rFont val="細明體"/>
        <family val="3"/>
        <charset val="136"/>
      </rPr>
      <t>年</t>
    </r>
    <r>
      <rPr>
        <sz val="12"/>
        <color indexed="8"/>
        <rFont val="Times New Roman"/>
        <family val="1"/>
      </rPr>
      <t/>
    </r>
    <phoneticPr fontId="2" type="noConversion"/>
  </si>
  <si>
    <r>
      <t>2018</t>
    </r>
    <r>
      <rPr>
        <sz val="12"/>
        <color indexed="8"/>
        <rFont val="細明體"/>
        <family val="3"/>
        <charset val="136"/>
      </rPr>
      <t>年</t>
    </r>
    <r>
      <rPr>
        <sz val="12"/>
        <rFont val="Times New Roman"/>
        <family val="1"/>
      </rPr>
      <t/>
    </r>
    <phoneticPr fontId="2" type="noConversion"/>
  </si>
  <si>
    <t>教育部核定經費(高教深耕)</t>
    <phoneticPr fontId="2" type="noConversion"/>
  </si>
  <si>
    <t>預算編列數</t>
    <phoneticPr fontId="2" type="noConversion"/>
  </si>
  <si>
    <r>
      <t xml:space="preserve">            2.</t>
    </r>
    <r>
      <rPr>
        <sz val="12"/>
        <color indexed="8"/>
        <rFont val="細明體"/>
        <family val="3"/>
        <charset val="136"/>
      </rPr>
      <t>邁向頂尖大學計畫</t>
    </r>
    <r>
      <rPr>
        <sz val="12"/>
        <color indexed="8"/>
        <rFont val="Times New Roman"/>
        <family val="1"/>
      </rPr>
      <t>(</t>
    </r>
    <r>
      <rPr>
        <sz val="12"/>
        <color indexed="8"/>
        <rFont val="細明體"/>
        <family val="3"/>
        <charset val="136"/>
      </rPr>
      <t>執行期間</t>
    </r>
    <r>
      <rPr>
        <sz val="12"/>
        <color indexed="8"/>
        <rFont val="Times New Roman"/>
        <family val="1"/>
      </rPr>
      <t>2011</t>
    </r>
    <r>
      <rPr>
        <sz val="12"/>
        <color indexed="8"/>
        <rFont val="細明體"/>
        <family val="3"/>
        <charset val="136"/>
      </rPr>
      <t>年</t>
    </r>
    <r>
      <rPr>
        <sz val="12"/>
        <color indexed="8"/>
        <rFont val="Times New Roman"/>
        <family val="1"/>
      </rPr>
      <t>4</t>
    </r>
    <r>
      <rPr>
        <sz val="12"/>
        <color indexed="8"/>
        <rFont val="細明體"/>
        <family val="3"/>
        <charset val="136"/>
      </rPr>
      <t>月至</t>
    </r>
    <r>
      <rPr>
        <sz val="12"/>
        <color indexed="8"/>
        <rFont val="Times New Roman"/>
        <family val="1"/>
      </rPr>
      <t>2016</t>
    </r>
    <r>
      <rPr>
        <sz val="12"/>
        <color indexed="8"/>
        <rFont val="細明體"/>
        <family val="3"/>
        <charset val="136"/>
      </rPr>
      <t>年</t>
    </r>
    <r>
      <rPr>
        <sz val="12"/>
        <color indexed="8"/>
        <rFont val="Times New Roman"/>
        <family val="1"/>
      </rPr>
      <t>12</t>
    </r>
    <r>
      <rPr>
        <sz val="12"/>
        <color indexed="8"/>
        <rFont val="細明體"/>
        <family val="3"/>
        <charset val="136"/>
      </rPr>
      <t>月</t>
    </r>
    <r>
      <rPr>
        <sz val="12"/>
        <color indexed="8"/>
        <rFont val="Times New Roman"/>
        <family val="1"/>
      </rPr>
      <t>)</t>
    </r>
    <r>
      <rPr>
        <sz val="12"/>
        <color indexed="8"/>
        <rFont val="細明體"/>
        <family val="3"/>
        <charset val="136"/>
      </rPr>
      <t>，延長執行至</t>
    </r>
    <r>
      <rPr>
        <sz val="12"/>
        <color indexed="8"/>
        <rFont val="Times New Roman"/>
        <family val="1"/>
      </rPr>
      <t>2017</t>
    </r>
    <r>
      <rPr>
        <sz val="12"/>
        <color indexed="8"/>
        <rFont val="細明體"/>
        <family val="3"/>
        <charset val="136"/>
      </rPr>
      <t>年</t>
    </r>
    <r>
      <rPr>
        <sz val="12"/>
        <color indexed="8"/>
        <rFont val="Times New Roman"/>
        <family val="1"/>
      </rPr>
      <t>12</t>
    </r>
    <r>
      <rPr>
        <sz val="12"/>
        <color indexed="8"/>
        <rFont val="細明體"/>
        <family val="3"/>
        <charset val="136"/>
      </rPr>
      <t>月做為橋接</t>
    </r>
    <r>
      <rPr>
        <sz val="12"/>
        <color indexed="8"/>
        <rFont val="Times New Roman"/>
        <family val="1"/>
      </rPr>
      <t>107</t>
    </r>
    <r>
      <rPr>
        <sz val="12"/>
        <color indexed="8"/>
        <rFont val="細明體"/>
        <family val="3"/>
        <charset val="136"/>
      </rPr>
      <t>年計畫</t>
    </r>
    <r>
      <rPr>
        <sz val="12"/>
        <color indexed="8"/>
        <rFont val="Times New Roman"/>
        <family val="1"/>
      </rPr>
      <t xml:space="preserve"> </t>
    </r>
    <r>
      <rPr>
        <sz val="12"/>
        <color indexed="8"/>
        <rFont val="細明體"/>
        <family val="3"/>
        <charset val="136"/>
      </rPr>
      <t>。</t>
    </r>
    <phoneticPr fontId="2" type="noConversion"/>
  </si>
  <si>
    <r>
      <t xml:space="preserve">            3.</t>
    </r>
    <r>
      <rPr>
        <sz val="12"/>
        <color indexed="8"/>
        <rFont val="細明體"/>
        <family val="3"/>
        <charset val="136"/>
      </rPr>
      <t>高教深耕計畫自107年度起開始執行。</t>
    </r>
    <phoneticPr fontId="2" type="noConversion"/>
  </si>
  <si>
    <t>頂尖大學
高教深耕</t>
    <phoneticPr fontId="2" type="noConversion"/>
  </si>
  <si>
    <t>教育部補助計畫</t>
    <phoneticPr fontId="2" type="noConversion"/>
  </si>
  <si>
    <t>備註：1.頂尖大學2016、2017年收入含台綜大系統補助款。
      2.其他收入包含雜項業務收入、賠(補)償收入、違規罰款收入、雜項收入及兌換賸餘等。
      3.教育部補助計畫資本門自105年度起改以「基金」科目列帳。</t>
    <phoneticPr fontId="2" type="noConversion"/>
  </si>
  <si>
    <t>彈性薪資
頂尖/高教深耕</t>
    <phoneticPr fontId="2" type="noConversion"/>
  </si>
  <si>
    <r>
      <t>計畫人員</t>
    </r>
    <r>
      <rPr>
        <sz val="12"/>
        <rFont val="Times New Roman"/>
        <family val="1"/>
      </rPr>
      <t xml:space="preserve">-
</t>
    </r>
    <r>
      <rPr>
        <sz val="12"/>
        <rFont val="細明體"/>
        <family val="3"/>
        <charset val="136"/>
      </rPr>
      <t>頂尖</t>
    </r>
    <r>
      <rPr>
        <sz val="12"/>
        <rFont val="Times New Roman"/>
        <family val="1"/>
      </rPr>
      <t>/</t>
    </r>
    <r>
      <rPr>
        <sz val="12"/>
        <rFont val="細明體"/>
        <family val="3"/>
        <charset val="136"/>
      </rPr>
      <t>高教深耕</t>
    </r>
    <phoneticPr fontId="2" type="noConversion"/>
  </si>
  <si>
    <r>
      <t>表</t>
    </r>
    <r>
      <rPr>
        <b/>
        <sz val="14"/>
        <color indexed="8"/>
        <rFont val="Times New Roman"/>
        <family val="1"/>
      </rPr>
      <t>7-8</t>
    </r>
    <r>
      <rPr>
        <b/>
        <sz val="14"/>
        <color indexed="8"/>
        <rFont val="新細明體"/>
        <family val="1"/>
        <charset val="136"/>
      </rPr>
      <t>：頂尖大學/高教深耕計畫編列情形</t>
    </r>
    <phoneticPr fontId="2" type="noConversion"/>
  </si>
  <si>
    <t>頂尖大學/高教深耕資本門補助</t>
    <phoneticPr fontId="2" type="noConversion"/>
  </si>
  <si>
    <r>
      <t>2019</t>
    </r>
    <r>
      <rPr>
        <sz val="12"/>
        <rFont val="細明體"/>
        <family val="3"/>
        <charset val="136"/>
      </rPr>
      <t>年</t>
    </r>
    <r>
      <rPr>
        <sz val="12"/>
        <rFont val="Times New Roman"/>
        <family val="1"/>
      </rPr>
      <t/>
    </r>
    <phoneticPr fontId="2" type="noConversion"/>
  </si>
  <si>
    <r>
      <t>2019</t>
    </r>
    <r>
      <rPr>
        <sz val="12"/>
        <rFont val="細明體"/>
        <family val="3"/>
        <charset val="136"/>
      </rPr>
      <t>年</t>
    </r>
    <r>
      <rPr>
        <sz val="12"/>
        <rFont val="Times New Roman"/>
        <family val="1"/>
      </rPr>
      <t/>
    </r>
    <phoneticPr fontId="2" type="noConversion"/>
  </si>
  <si>
    <r>
      <t>2019</t>
    </r>
    <r>
      <rPr>
        <sz val="12"/>
        <color indexed="8"/>
        <rFont val="細明體"/>
        <family val="3"/>
        <charset val="136"/>
      </rPr>
      <t>年</t>
    </r>
    <r>
      <rPr>
        <sz val="12"/>
        <rFont val="Times New Roman"/>
        <family val="1"/>
      </rPr>
      <t/>
    </r>
    <phoneticPr fontId="2" type="noConversion"/>
  </si>
  <si>
    <r>
      <t>2019</t>
    </r>
    <r>
      <rPr>
        <sz val="12"/>
        <color indexed="8"/>
        <rFont val="細明體"/>
        <family val="3"/>
        <charset val="136"/>
      </rPr>
      <t>年</t>
    </r>
    <r>
      <rPr>
        <sz val="12"/>
        <color indexed="8"/>
        <rFont val="Times New Roman"/>
        <family val="1"/>
      </rPr>
      <t/>
    </r>
    <phoneticPr fontId="2" type="noConversion"/>
  </si>
  <si>
    <t xml:space="preserve"> 國際獸醫防疫人才培訓中心暨獸醫教學醫院大樓新建工程</t>
    <phoneticPr fontId="2" type="noConversion"/>
  </si>
  <si>
    <r>
      <t>2019</t>
    </r>
    <r>
      <rPr>
        <sz val="12"/>
        <rFont val="細明體"/>
        <family val="3"/>
        <charset val="136"/>
      </rPr>
      <t>年</t>
    </r>
    <r>
      <rPr>
        <sz val="12"/>
        <rFont val="Times New Roman"/>
        <family val="1"/>
      </rPr>
      <t/>
    </r>
    <phoneticPr fontId="2" type="noConversion"/>
  </si>
  <si>
    <r>
      <t>2020</t>
    </r>
    <r>
      <rPr>
        <sz val="12"/>
        <rFont val="細明體"/>
        <family val="3"/>
        <charset val="136"/>
      </rPr>
      <t>年</t>
    </r>
    <r>
      <rPr>
        <sz val="12"/>
        <rFont val="Times New Roman"/>
        <family val="1"/>
      </rPr>
      <t/>
    </r>
    <phoneticPr fontId="2" type="noConversion"/>
  </si>
  <si>
    <r>
      <t>2020</t>
    </r>
    <r>
      <rPr>
        <sz val="12"/>
        <rFont val="細明體"/>
        <family val="3"/>
        <charset val="136"/>
      </rPr>
      <t>年</t>
    </r>
    <r>
      <rPr>
        <sz val="12"/>
        <rFont val="Times New Roman"/>
        <family val="1"/>
      </rPr>
      <t/>
    </r>
    <phoneticPr fontId="2" type="noConversion"/>
  </si>
  <si>
    <r>
      <t>2020</t>
    </r>
    <r>
      <rPr>
        <sz val="12"/>
        <color indexed="8"/>
        <rFont val="細明體"/>
        <family val="3"/>
        <charset val="136"/>
      </rPr>
      <t>年</t>
    </r>
    <r>
      <rPr>
        <sz val="12"/>
        <color indexed="8"/>
        <rFont val="Times New Roman"/>
        <family val="1"/>
      </rPr>
      <t/>
    </r>
    <phoneticPr fontId="2" type="noConversion"/>
  </si>
  <si>
    <r>
      <t>2020</t>
    </r>
    <r>
      <rPr>
        <sz val="12"/>
        <color indexed="8"/>
        <rFont val="細明體"/>
        <family val="3"/>
        <charset val="136"/>
      </rPr>
      <t>年</t>
    </r>
    <r>
      <rPr>
        <sz val="12"/>
        <rFont val="Times New Roman"/>
        <family val="1"/>
      </rPr>
      <t/>
    </r>
    <phoneticPr fontId="2" type="noConversion"/>
  </si>
  <si>
    <r>
      <t>2020</t>
    </r>
    <r>
      <rPr>
        <sz val="12"/>
        <rFont val="細明體"/>
        <family val="3"/>
        <charset val="136"/>
      </rPr>
      <t>年</t>
    </r>
    <r>
      <rPr>
        <sz val="12"/>
        <rFont val="Times New Roman"/>
        <family val="1"/>
      </rPr>
      <t/>
    </r>
    <phoneticPr fontId="2" type="noConversion"/>
  </si>
  <si>
    <t>智慧機械技術研發中心新建工程</t>
    <phoneticPr fontId="2" type="noConversion"/>
  </si>
  <si>
    <r>
      <t>2021</t>
    </r>
    <r>
      <rPr>
        <sz val="12"/>
        <rFont val="細明體"/>
        <family val="3"/>
        <charset val="136"/>
      </rPr>
      <t>年</t>
    </r>
    <r>
      <rPr>
        <sz val="12"/>
        <rFont val="Times New Roman"/>
        <family val="1"/>
      </rPr>
      <t/>
    </r>
    <phoneticPr fontId="2" type="noConversion"/>
  </si>
  <si>
    <r>
      <t>2021</t>
    </r>
    <r>
      <rPr>
        <sz val="12"/>
        <color indexed="8"/>
        <rFont val="細明體"/>
        <family val="3"/>
        <charset val="136"/>
      </rPr>
      <t>年</t>
    </r>
    <r>
      <rPr>
        <sz val="12"/>
        <color indexed="8"/>
        <rFont val="Times New Roman"/>
        <family val="1"/>
      </rPr>
      <t/>
    </r>
    <phoneticPr fontId="2" type="noConversion"/>
  </si>
  <si>
    <r>
      <t>2021</t>
    </r>
    <r>
      <rPr>
        <sz val="12"/>
        <color indexed="8"/>
        <rFont val="細明體"/>
        <family val="3"/>
        <charset val="136"/>
      </rPr>
      <t>年</t>
    </r>
    <r>
      <rPr>
        <sz val="12"/>
        <rFont val="Times New Roman"/>
        <family val="1"/>
      </rPr>
      <t/>
    </r>
    <phoneticPr fontId="2" type="noConversion"/>
  </si>
  <si>
    <t>校史館</t>
    <phoneticPr fontId="2" type="noConversion"/>
  </si>
  <si>
    <t>4、興大二村男生宿舍新建工程經費，經 109.4.7 108 學年度第 4 次校務基金管理委員會同意增加 4,094 萬 7,783 元，總工程經費調整為768,328千元，原擬以借款支應惟考量可用資金及利息負擔，除110年向銀行舉借1億元外，餘由學校自籌款支應。</t>
    <phoneticPr fontId="2" type="noConversion"/>
  </si>
  <si>
    <r>
      <t>2022</t>
    </r>
    <r>
      <rPr>
        <sz val="12"/>
        <rFont val="細明體"/>
        <family val="3"/>
        <charset val="136"/>
      </rPr>
      <t>年</t>
    </r>
    <r>
      <rPr>
        <sz val="12"/>
        <rFont val="Times New Roman"/>
        <family val="1"/>
      </rPr>
      <t/>
    </r>
    <phoneticPr fontId="2" type="noConversion"/>
  </si>
  <si>
    <r>
      <t>2022</t>
    </r>
    <r>
      <rPr>
        <sz val="12"/>
        <rFont val="細明體"/>
        <family val="3"/>
        <charset val="136"/>
      </rPr>
      <t>年</t>
    </r>
    <r>
      <rPr>
        <sz val="12"/>
        <rFont val="Times New Roman"/>
        <family val="1"/>
      </rPr>
      <t/>
    </r>
    <phoneticPr fontId="2" type="noConversion"/>
  </si>
  <si>
    <r>
      <t>2022</t>
    </r>
    <r>
      <rPr>
        <sz val="12"/>
        <color indexed="8"/>
        <rFont val="細明體"/>
        <family val="3"/>
        <charset val="136"/>
      </rPr>
      <t>年</t>
    </r>
    <r>
      <rPr>
        <sz val="12"/>
        <color indexed="8"/>
        <rFont val="Times New Roman"/>
        <family val="1"/>
      </rPr>
      <t/>
    </r>
    <phoneticPr fontId="2" type="noConversion"/>
  </si>
  <si>
    <r>
      <t>2022</t>
    </r>
    <r>
      <rPr>
        <sz val="12"/>
        <color indexed="8"/>
        <rFont val="細明體"/>
        <family val="3"/>
        <charset val="136"/>
      </rPr>
      <t>年</t>
    </r>
    <r>
      <rPr>
        <sz val="12"/>
        <rFont val="Times New Roman"/>
        <family val="1"/>
      </rPr>
      <t/>
    </r>
    <phoneticPr fontId="2" type="noConversion"/>
  </si>
  <si>
    <r>
      <t>2022</t>
    </r>
    <r>
      <rPr>
        <sz val="12"/>
        <rFont val="細明體"/>
        <family val="3"/>
        <charset val="136"/>
      </rPr>
      <t>年</t>
    </r>
    <r>
      <rPr>
        <sz val="12"/>
        <rFont val="Times New Roman"/>
        <family val="1"/>
      </rPr>
      <t/>
    </r>
    <phoneticPr fontId="2" type="noConversion"/>
  </si>
  <si>
    <r>
      <t>2023</t>
    </r>
    <r>
      <rPr>
        <sz val="12"/>
        <rFont val="細明體"/>
        <family val="3"/>
        <charset val="136"/>
      </rPr>
      <t>年</t>
    </r>
    <phoneticPr fontId="2" type="noConversion"/>
  </si>
  <si>
    <r>
      <t>2023</t>
    </r>
    <r>
      <rPr>
        <sz val="12"/>
        <color indexed="8"/>
        <rFont val="細明體"/>
        <family val="3"/>
        <charset val="136"/>
      </rPr>
      <t>年</t>
    </r>
    <phoneticPr fontId="2" type="noConversion"/>
  </si>
  <si>
    <t>國立中興大學南投分部大學城建置計畫(112年至116年)</t>
    <phoneticPr fontId="2" type="noConversion"/>
  </si>
  <si>
    <t>興大方舟植物園新建工程</t>
    <phoneticPr fontId="2" type="noConversion"/>
  </si>
  <si>
    <t>惠蓀林場保種展示溫室及周邊步道與灌溉工程</t>
    <phoneticPr fontId="2" type="noConversion"/>
  </si>
  <si>
    <r>
      <t>表</t>
    </r>
    <r>
      <rPr>
        <b/>
        <sz val="14"/>
        <rFont val="Times New Roman"/>
        <family val="1"/>
      </rPr>
      <t>7-1</t>
    </r>
    <r>
      <rPr>
        <b/>
        <sz val="14"/>
        <rFont val="新細明體"/>
        <family val="1"/>
        <charset val="136"/>
      </rPr>
      <t>：歷年收入明細表（</t>
    </r>
    <r>
      <rPr>
        <b/>
        <sz val="14"/>
        <rFont val="Times New Roman"/>
        <family val="1"/>
      </rPr>
      <t>2001-2024</t>
    </r>
    <r>
      <rPr>
        <b/>
        <sz val="14"/>
        <rFont val="新細明體"/>
        <family val="1"/>
        <charset val="136"/>
      </rPr>
      <t>）</t>
    </r>
    <phoneticPr fontId="2" type="noConversion"/>
  </si>
  <si>
    <r>
      <t>表</t>
    </r>
    <r>
      <rPr>
        <b/>
        <sz val="14"/>
        <rFont val="Times New Roman"/>
        <family val="1"/>
      </rPr>
      <t>7-2</t>
    </r>
    <r>
      <rPr>
        <b/>
        <sz val="14"/>
        <rFont val="新細明體"/>
        <family val="1"/>
        <charset val="136"/>
      </rPr>
      <t>：歷年支出明細表（</t>
    </r>
    <r>
      <rPr>
        <b/>
        <sz val="14"/>
        <rFont val="Times New Roman"/>
        <family val="1"/>
      </rPr>
      <t>2001-2024</t>
    </r>
    <r>
      <rPr>
        <b/>
        <sz val="14"/>
        <rFont val="新細明體"/>
        <family val="1"/>
        <charset val="136"/>
      </rPr>
      <t>）</t>
    </r>
    <phoneticPr fontId="2" type="noConversion"/>
  </si>
  <si>
    <r>
      <t>表</t>
    </r>
    <r>
      <rPr>
        <b/>
        <sz val="14"/>
        <rFont val="Times New Roman"/>
        <family val="1"/>
      </rPr>
      <t>7-3</t>
    </r>
    <r>
      <rPr>
        <b/>
        <sz val="14"/>
        <rFont val="新細明體"/>
        <family val="1"/>
        <charset val="136"/>
      </rPr>
      <t>：歷年經常收支餘絀決算表（</t>
    </r>
    <r>
      <rPr>
        <b/>
        <sz val="14"/>
        <rFont val="Times New Roman"/>
        <family val="1"/>
      </rPr>
      <t>2001-2024</t>
    </r>
    <r>
      <rPr>
        <b/>
        <sz val="14"/>
        <rFont val="新細明體"/>
        <family val="1"/>
        <charset val="136"/>
      </rPr>
      <t>）</t>
    </r>
    <phoneticPr fontId="2" type="noConversion"/>
  </si>
  <si>
    <r>
      <t>2024年</t>
    </r>
    <r>
      <rPr>
        <sz val="12"/>
        <rFont val="細明體"/>
        <family val="3"/>
        <charset val="136"/>
      </rPr>
      <t/>
    </r>
  </si>
  <si>
    <r>
      <t>表</t>
    </r>
    <r>
      <rPr>
        <b/>
        <sz val="14"/>
        <rFont val="Times New Roman"/>
        <family val="1"/>
      </rPr>
      <t>7-4</t>
    </r>
    <r>
      <rPr>
        <b/>
        <sz val="14"/>
        <rFont val="新細明體"/>
        <family val="1"/>
        <charset val="136"/>
      </rPr>
      <t>：歷年人事費支出（</t>
    </r>
    <r>
      <rPr>
        <b/>
        <sz val="14"/>
        <rFont val="Times New Roman"/>
        <family val="1"/>
      </rPr>
      <t>2001-2024</t>
    </r>
    <r>
      <rPr>
        <b/>
        <sz val="14"/>
        <rFont val="新細明體"/>
        <family val="1"/>
        <charset val="136"/>
      </rPr>
      <t>）</t>
    </r>
    <phoneticPr fontId="2" type="noConversion"/>
  </si>
  <si>
    <r>
      <t>2024年</t>
    </r>
    <r>
      <rPr>
        <sz val="12"/>
        <color indexed="8"/>
        <rFont val="細明體"/>
        <family val="3"/>
        <charset val="136"/>
      </rPr>
      <t/>
    </r>
  </si>
  <si>
    <r>
      <t>表</t>
    </r>
    <r>
      <rPr>
        <b/>
        <sz val="14"/>
        <color indexed="8"/>
        <rFont val="Times New Roman"/>
        <family val="1"/>
      </rPr>
      <t>7-7</t>
    </r>
    <r>
      <rPr>
        <b/>
        <sz val="14"/>
        <color indexed="8"/>
        <rFont val="新細明體"/>
        <family val="1"/>
        <charset val="136"/>
      </rPr>
      <t>：歷年國庫補助收入編列情形（</t>
    </r>
    <r>
      <rPr>
        <b/>
        <sz val="14"/>
        <color indexed="8"/>
        <rFont val="Times New Roman"/>
        <family val="1"/>
      </rPr>
      <t>2001-2024</t>
    </r>
    <r>
      <rPr>
        <b/>
        <sz val="14"/>
        <color indexed="8"/>
        <rFont val="新細明體"/>
        <family val="1"/>
        <charset val="136"/>
      </rPr>
      <t>）</t>
    </r>
    <phoneticPr fontId="2" type="noConversion"/>
  </si>
  <si>
    <r>
      <t>5</t>
    </r>
    <r>
      <rPr>
        <sz val="12"/>
        <rFont val="Microsoft JhengHei UI"/>
        <family val="1"/>
        <charset val="136"/>
      </rPr>
      <t>、校史館</t>
    </r>
    <r>
      <rPr>
        <sz val="12"/>
        <rFont val="新細明體"/>
        <family val="1"/>
        <charset val="136"/>
      </rPr>
      <t>原委託設計案終止契約，另進行空間規畫及需求確認後，再行委外協助撰寫規劃構想書。</t>
    </r>
    <phoneticPr fontId="2" type="noConversion"/>
  </si>
  <si>
    <t>6、國立中興大學南投分部大學城建置計畫(112年至116年)僅列房屋及建築工程預算，不含遞延費用與機械設備等設備明細。</t>
    <phoneticPr fontId="2" type="noConversion"/>
  </si>
  <si>
    <r>
      <t>固定資產</t>
    </r>
    <r>
      <rPr>
        <sz val="12"/>
        <color theme="1"/>
        <rFont val="Times New Roman"/>
        <family val="1"/>
      </rPr>
      <t>-</t>
    </r>
    <r>
      <rPr>
        <sz val="12"/>
        <color theme="1"/>
        <rFont val="細明體"/>
        <family val="3"/>
        <charset val="136"/>
      </rPr>
      <t>基本圖儀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</si>
</sst>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76" formatCode="#,##0_);[Red]\(#,##0\)"/>
    <numFmt numFmtId="177" formatCode="#,##0_ "/>
    <numFmt numFmtId="178" formatCode="_-* #,##0_-;\-* #,##0_-;_-* &quot;-&quot;??_-;_-@_-"/>
  </numFmts>
  <fonts count="32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4"/>
      <name val="Times New Roman"/>
      <family val="1"/>
    </font>
    <font>
      <sz val="12"/>
      <name val="Times New Roman"/>
      <family val="1"/>
    </font>
    <font>
      <sz val="12"/>
      <name val="細明體"/>
      <family val="3"/>
      <charset val="136"/>
    </font>
    <font>
      <sz val="10"/>
      <name val="細明體"/>
      <family val="3"/>
      <charset val="136"/>
    </font>
    <font>
      <sz val="10"/>
      <name val="Times New Roman"/>
      <family val="1"/>
    </font>
    <font>
      <sz val="10"/>
      <name val="新細明體"/>
      <family val="1"/>
      <charset val="136"/>
    </font>
    <font>
      <b/>
      <sz val="12"/>
      <name val="Times New Roman"/>
      <family val="1"/>
    </font>
    <font>
      <b/>
      <sz val="14"/>
      <name val="Times New Roman"/>
      <family val="1"/>
    </font>
    <font>
      <b/>
      <sz val="14"/>
      <name val="新細明體"/>
      <family val="1"/>
      <charset val="136"/>
    </font>
    <font>
      <sz val="14"/>
      <name val="新細明體"/>
      <family val="1"/>
      <charset val="136"/>
    </font>
    <font>
      <sz val="12"/>
      <name val="新細明體"/>
      <family val="1"/>
      <charset val="136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b/>
      <sz val="14"/>
      <color indexed="8"/>
      <name val="新細明體"/>
      <family val="1"/>
      <charset val="136"/>
    </font>
    <font>
      <b/>
      <sz val="14"/>
      <color indexed="8"/>
      <name val="Times New Roman"/>
      <family val="1"/>
    </font>
    <font>
      <sz val="12"/>
      <color indexed="8"/>
      <name val="標楷體"/>
      <family val="4"/>
      <charset val="136"/>
    </font>
    <font>
      <sz val="12"/>
      <color indexed="8"/>
      <name val="細明體"/>
      <family val="3"/>
      <charset val="136"/>
    </font>
    <font>
      <sz val="14"/>
      <color indexed="8"/>
      <name val="Times New Roman"/>
      <family val="1"/>
    </font>
    <font>
      <sz val="9"/>
      <color indexed="81"/>
      <name val="新細明體"/>
      <family val="1"/>
      <charset val="136"/>
    </font>
    <font>
      <b/>
      <sz val="9"/>
      <color indexed="81"/>
      <name val="新細明體"/>
      <family val="1"/>
      <charset val="136"/>
    </font>
    <font>
      <sz val="9"/>
      <color indexed="81"/>
      <name val="細明體"/>
      <family val="3"/>
      <charset val="136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81"/>
      <name val="細明體"/>
      <family val="3"/>
      <charset val="136"/>
    </font>
    <font>
      <sz val="12"/>
      <color rgb="FF9C0006"/>
      <name val="新細明體"/>
      <family val="2"/>
      <charset val="136"/>
      <scheme val="minor"/>
    </font>
    <font>
      <sz val="12"/>
      <name val="Microsoft JhengHei UI"/>
      <family val="1"/>
      <charset val="136"/>
    </font>
    <font>
      <sz val="12"/>
      <color theme="1"/>
      <name val="新細明體"/>
      <family val="1"/>
      <charset val="136"/>
    </font>
    <font>
      <sz val="12"/>
      <color theme="1"/>
      <name val="Times New Roman"/>
      <family val="1"/>
    </font>
    <font>
      <sz val="12"/>
      <color theme="1"/>
      <name val="細明體"/>
      <family val="3"/>
      <charset val="136"/>
    </font>
  </fonts>
  <fills count="9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7CE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</cellStyleXfs>
  <cellXfs count="294">
    <xf numFmtId="0" fontId="0" fillId="0" borderId="0" xfId="0" applyAlignment="1">
      <alignment vertical="center"/>
    </xf>
    <xf numFmtId="0" fontId="4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6" fillId="0" borderId="1" xfId="1" applyFont="1" applyBorder="1" applyAlignment="1">
      <alignment horizontal="center" vertical="center" wrapText="1" shrinkToFit="1"/>
    </xf>
    <xf numFmtId="177" fontId="4" fillId="0" borderId="0" xfId="1" applyNumberFormat="1" applyFont="1" applyAlignment="1">
      <alignment vertical="center"/>
    </xf>
    <xf numFmtId="177" fontId="4" fillId="0" borderId="1" xfId="1" applyNumberFormat="1" applyFont="1" applyBorder="1" applyAlignment="1">
      <alignment vertical="center"/>
    </xf>
    <xf numFmtId="177" fontId="4" fillId="0" borderId="2" xfId="1" applyNumberFormat="1" applyFont="1" applyBorder="1" applyAlignment="1">
      <alignment vertical="center"/>
    </xf>
    <xf numFmtId="177" fontId="3" fillId="0" borderId="0" xfId="1" applyNumberFormat="1" applyFont="1" applyAlignment="1">
      <alignment vertical="center"/>
    </xf>
    <xf numFmtId="177" fontId="4" fillId="0" borderId="3" xfId="1" applyNumberFormat="1" applyFont="1" applyBorder="1" applyAlignment="1">
      <alignment vertical="center"/>
    </xf>
    <xf numFmtId="177" fontId="4" fillId="0" borderId="4" xfId="1" applyNumberFormat="1" applyFont="1" applyBorder="1" applyAlignment="1">
      <alignment vertical="center"/>
    </xf>
    <xf numFmtId="0" fontId="4" fillId="0" borderId="0" xfId="1" applyFont="1" applyAlignment="1">
      <alignment horizontal="right" vertical="center"/>
    </xf>
    <xf numFmtId="177" fontId="5" fillId="0" borderId="1" xfId="1" applyNumberFormat="1" applyFont="1" applyBorder="1" applyAlignment="1">
      <alignment horizontal="left" vertical="center" shrinkToFit="1"/>
    </xf>
    <xf numFmtId="177" fontId="5" fillId="0" borderId="3" xfId="1" applyNumberFormat="1" applyFont="1" applyBorder="1" applyAlignment="1">
      <alignment horizontal="left" vertical="center" shrinkToFit="1"/>
    </xf>
    <xf numFmtId="177" fontId="5" fillId="0" borderId="5" xfId="1" applyNumberFormat="1" applyFont="1" applyBorder="1" applyAlignment="1">
      <alignment horizontal="left" vertical="center" shrinkToFit="1"/>
    </xf>
    <xf numFmtId="177" fontId="4" fillId="0" borderId="5" xfId="1" applyNumberFormat="1" applyFont="1" applyBorder="1" applyAlignment="1">
      <alignment vertical="center"/>
    </xf>
    <xf numFmtId="177" fontId="4" fillId="0" borderId="6" xfId="1" applyNumberFormat="1" applyFont="1" applyBorder="1" applyAlignment="1">
      <alignment vertical="center"/>
    </xf>
    <xf numFmtId="177" fontId="7" fillId="0" borderId="0" xfId="1" applyNumberFormat="1" applyFont="1" applyAlignment="1">
      <alignment horizontal="right" vertical="center"/>
    </xf>
    <xf numFmtId="176" fontId="5" fillId="0" borderId="7" xfId="1" applyNumberFormat="1" applyFont="1" applyBorder="1" applyAlignment="1">
      <alignment horizontal="center" vertical="center"/>
    </xf>
    <xf numFmtId="176" fontId="5" fillId="0" borderId="8" xfId="1" applyNumberFormat="1" applyFont="1" applyBorder="1" applyAlignment="1">
      <alignment horizontal="center" vertical="center"/>
    </xf>
    <xf numFmtId="177" fontId="0" fillId="0" borderId="8" xfId="1" applyNumberFormat="1" applyFont="1" applyBorder="1" applyAlignment="1">
      <alignment horizontal="center" vertical="center"/>
    </xf>
    <xf numFmtId="0" fontId="7" fillId="0" borderId="0" xfId="1" applyFont="1" applyAlignment="1">
      <alignment horizontal="right" vertical="center"/>
    </xf>
    <xf numFmtId="0" fontId="5" fillId="0" borderId="9" xfId="1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 shrinkToFit="1"/>
    </xf>
    <xf numFmtId="0" fontId="5" fillId="0" borderId="10" xfId="1" applyFont="1" applyBorder="1" applyAlignment="1">
      <alignment vertical="center" shrinkToFit="1"/>
    </xf>
    <xf numFmtId="0" fontId="5" fillId="0" borderId="11" xfId="1" applyFont="1" applyBorder="1" applyAlignment="1">
      <alignment vertical="center" shrinkToFit="1"/>
    </xf>
    <xf numFmtId="0" fontId="5" fillId="0" borderId="12" xfId="1" applyFont="1" applyBorder="1" applyAlignment="1">
      <alignment vertical="center" shrinkToFit="1"/>
    </xf>
    <xf numFmtId="0" fontId="5" fillId="0" borderId="13" xfId="1" applyFont="1" applyBorder="1" applyAlignment="1">
      <alignment horizontal="center" vertical="center" shrinkToFit="1"/>
    </xf>
    <xf numFmtId="0" fontId="4" fillId="0" borderId="14" xfId="1" applyFont="1" applyBorder="1" applyAlignment="1">
      <alignment horizontal="center" vertical="center"/>
    </xf>
    <xf numFmtId="0" fontId="12" fillId="0" borderId="0" xfId="1" applyFont="1" applyAlignment="1">
      <alignment horizontal="center" vertical="center"/>
    </xf>
    <xf numFmtId="176" fontId="5" fillId="0" borderId="15" xfId="1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/>
    </xf>
    <xf numFmtId="0" fontId="6" fillId="2" borderId="1" xfId="1" applyFont="1" applyFill="1" applyBorder="1" applyAlignment="1">
      <alignment horizontal="center" vertical="center" wrapText="1" shrinkToFi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177" fontId="4" fillId="0" borderId="1" xfId="0" applyNumberFormat="1" applyFont="1" applyBorder="1" applyAlignment="1">
      <alignment vertical="center" wrapText="1"/>
    </xf>
    <xf numFmtId="177" fontId="8" fillId="0" borderId="1" xfId="1" applyNumberFormat="1" applyFont="1" applyBorder="1" applyAlignment="1">
      <alignment horizontal="center" vertical="center" wrapText="1"/>
    </xf>
    <xf numFmtId="177" fontId="6" fillId="0" borderId="1" xfId="1" applyNumberFormat="1" applyFont="1" applyBorder="1" applyAlignment="1">
      <alignment horizontal="center" vertical="center" wrapText="1"/>
    </xf>
    <xf numFmtId="0" fontId="6" fillId="3" borderId="1" xfId="1" applyFont="1" applyFill="1" applyBorder="1" applyAlignment="1">
      <alignment horizontal="center" vertical="center" wrapText="1" shrinkToFit="1"/>
    </xf>
    <xf numFmtId="0" fontId="4" fillId="0" borderId="0" xfId="0" applyFont="1" applyAlignment="1">
      <alignment horizontal="center" vertical="center"/>
    </xf>
    <xf numFmtId="177" fontId="4" fillId="0" borderId="0" xfId="0" applyNumberFormat="1" applyFont="1" applyAlignment="1">
      <alignment vertical="center"/>
    </xf>
    <xf numFmtId="177" fontId="4" fillId="3" borderId="1" xfId="0" applyNumberFormat="1" applyFont="1" applyFill="1" applyBorder="1" applyAlignment="1">
      <alignment vertical="center" wrapText="1"/>
    </xf>
    <xf numFmtId="177" fontId="5" fillId="4" borderId="16" xfId="1" applyNumberFormat="1" applyFont="1" applyFill="1" applyBorder="1" applyAlignment="1">
      <alignment horizontal="left" vertical="center" shrinkToFit="1"/>
    </xf>
    <xf numFmtId="177" fontId="4" fillId="4" borderId="16" xfId="1" applyNumberFormat="1" applyFont="1" applyFill="1" applyBorder="1" applyAlignment="1">
      <alignment vertical="center"/>
    </xf>
    <xf numFmtId="177" fontId="4" fillId="4" borderId="17" xfId="1" applyNumberFormat="1" applyFont="1" applyFill="1" applyBorder="1" applyAlignment="1">
      <alignment vertical="center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176" fontId="4" fillId="0" borderId="1" xfId="2" applyNumberFormat="1" applyFont="1" applyBorder="1" applyAlignment="1">
      <alignment vertical="center" wrapText="1"/>
    </xf>
    <xf numFmtId="176" fontId="4" fillId="0" borderId="1" xfId="3" applyNumberFormat="1" applyFont="1" applyBorder="1" applyAlignment="1">
      <alignment vertical="center" wrapText="1"/>
    </xf>
    <xf numFmtId="176" fontId="4" fillId="0" borderId="1" xfId="3" applyNumberFormat="1" applyFont="1" applyBorder="1" applyAlignment="1">
      <alignment vertical="center"/>
    </xf>
    <xf numFmtId="176" fontId="4" fillId="0" borderId="11" xfId="3" applyNumberFormat="1" applyFont="1" applyBorder="1" applyAlignment="1">
      <alignment vertical="center"/>
    </xf>
    <xf numFmtId="176" fontId="4" fillId="0" borderId="18" xfId="3" applyNumberFormat="1" applyFont="1" applyBorder="1" applyAlignment="1">
      <alignment vertical="center"/>
    </xf>
    <xf numFmtId="176" fontId="4" fillId="0" borderId="19" xfId="3" applyNumberFormat="1" applyFont="1" applyBorder="1" applyAlignment="1">
      <alignment vertical="center"/>
    </xf>
    <xf numFmtId="176" fontId="4" fillId="0" borderId="1" xfId="0" applyNumberFormat="1" applyFont="1" applyBorder="1" applyAlignment="1">
      <alignment vertical="center" wrapText="1"/>
    </xf>
    <xf numFmtId="176" fontId="4" fillId="2" borderId="1" xfId="0" applyNumberFormat="1" applyFont="1" applyFill="1" applyBorder="1" applyAlignment="1">
      <alignment vertical="center" wrapText="1"/>
    </xf>
    <xf numFmtId="176" fontId="4" fillId="0" borderId="1" xfId="3" applyNumberFormat="1" applyFont="1" applyBorder="1" applyAlignment="1">
      <alignment horizontal="right" vertical="center"/>
    </xf>
    <xf numFmtId="176" fontId="4" fillId="0" borderId="1" xfId="2" applyNumberFormat="1" applyFont="1" applyBorder="1" applyAlignment="1">
      <alignment horizontal="right" vertical="center" wrapText="1"/>
    </xf>
    <xf numFmtId="0" fontId="10" fillId="0" borderId="0" xfId="1" applyFont="1" applyAlignment="1">
      <alignment vertical="center"/>
    </xf>
    <xf numFmtId="0" fontId="9" fillId="0" borderId="0" xfId="1" applyFont="1" applyAlignment="1">
      <alignment vertical="center"/>
    </xf>
    <xf numFmtId="0" fontId="13" fillId="0" borderId="9" xfId="1" applyFont="1" applyBorder="1" applyAlignment="1">
      <alignment horizontal="center" vertical="center"/>
    </xf>
    <xf numFmtId="176" fontId="5" fillId="0" borderId="5" xfId="1" applyNumberFormat="1" applyFont="1" applyBorder="1" applyAlignment="1">
      <alignment horizontal="center" vertical="center"/>
    </xf>
    <xf numFmtId="177" fontId="5" fillId="0" borderId="5" xfId="1" applyNumberFormat="1" applyFont="1" applyBorder="1" applyAlignment="1">
      <alignment horizontal="center" vertical="center"/>
    </xf>
    <xf numFmtId="177" fontId="5" fillId="0" borderId="6" xfId="1" applyNumberFormat="1" applyFont="1" applyBorder="1" applyAlignment="1">
      <alignment horizontal="center" vertical="center"/>
    </xf>
    <xf numFmtId="177" fontId="5" fillId="4" borderId="9" xfId="1" applyNumberFormat="1" applyFont="1" applyFill="1" applyBorder="1" applyAlignment="1">
      <alignment horizontal="left" vertical="center" shrinkToFit="1"/>
    </xf>
    <xf numFmtId="177" fontId="4" fillId="4" borderId="9" xfId="1" applyNumberFormat="1" applyFont="1" applyFill="1" applyBorder="1" applyAlignment="1">
      <alignment vertical="center"/>
    </xf>
    <xf numFmtId="177" fontId="4" fillId="0" borderId="15" xfId="1" applyNumberFormat="1" applyFont="1" applyBorder="1" applyAlignment="1">
      <alignment vertical="center"/>
    </xf>
    <xf numFmtId="177" fontId="4" fillId="0" borderId="20" xfId="1" applyNumberFormat="1" applyFont="1" applyBorder="1" applyAlignment="1">
      <alignment vertical="center"/>
    </xf>
    <xf numFmtId="177" fontId="4" fillId="0" borderId="21" xfId="1" applyNumberFormat="1" applyFont="1" applyBorder="1" applyAlignment="1">
      <alignment vertical="center"/>
    </xf>
    <xf numFmtId="177" fontId="4" fillId="0" borderId="18" xfId="1" applyNumberFormat="1" applyFont="1" applyBorder="1" applyAlignment="1">
      <alignment vertical="center"/>
    </xf>
    <xf numFmtId="0" fontId="5" fillId="5" borderId="12" xfId="1" applyFont="1" applyFill="1" applyBorder="1" applyAlignment="1">
      <alignment vertical="center" shrinkToFit="1"/>
    </xf>
    <xf numFmtId="177" fontId="4" fillId="5" borderId="22" xfId="1" applyNumberFormat="1" applyFont="1" applyFill="1" applyBorder="1" applyAlignment="1">
      <alignment vertical="center"/>
    </xf>
    <xf numFmtId="177" fontId="4" fillId="5" borderId="4" xfId="1" applyNumberFormat="1" applyFont="1" applyFill="1" applyBorder="1" applyAlignment="1">
      <alignment vertical="center"/>
    </xf>
    <xf numFmtId="177" fontId="4" fillId="5" borderId="3" xfId="1" applyNumberFormat="1" applyFont="1" applyFill="1" applyBorder="1" applyAlignment="1">
      <alignment vertical="center"/>
    </xf>
    <xf numFmtId="0" fontId="5" fillId="5" borderId="9" xfId="1" applyFont="1" applyFill="1" applyBorder="1" applyAlignment="1">
      <alignment horizontal="center" vertical="center"/>
    </xf>
    <xf numFmtId="177" fontId="4" fillId="5" borderId="5" xfId="1" applyNumberFormat="1" applyFont="1" applyFill="1" applyBorder="1" applyAlignment="1">
      <alignment vertical="center"/>
    </xf>
    <xf numFmtId="177" fontId="4" fillId="5" borderId="1" xfId="1" applyNumberFormat="1" applyFont="1" applyFill="1" applyBorder="1" applyAlignment="1">
      <alignment vertical="center"/>
    </xf>
    <xf numFmtId="177" fontId="4" fillId="5" borderId="23" xfId="1" applyNumberFormat="1" applyFont="1" applyFill="1" applyBorder="1" applyAlignment="1">
      <alignment vertical="center"/>
    </xf>
    <xf numFmtId="177" fontId="4" fillId="5" borderId="24" xfId="1" applyNumberFormat="1" applyFont="1" applyFill="1" applyBorder="1" applyAlignment="1">
      <alignment vertical="center"/>
    </xf>
    <xf numFmtId="177" fontId="4" fillId="5" borderId="6" xfId="1" applyNumberFormat="1" applyFont="1" applyFill="1" applyBorder="1" applyAlignment="1">
      <alignment vertical="center"/>
    </xf>
    <xf numFmtId="177" fontId="4" fillId="5" borderId="2" xfId="1" applyNumberFormat="1" applyFont="1" applyFill="1" applyBorder="1" applyAlignment="1">
      <alignment vertical="center"/>
    </xf>
    <xf numFmtId="0" fontId="5" fillId="5" borderId="9" xfId="1" applyFont="1" applyFill="1" applyBorder="1" applyAlignment="1">
      <alignment horizontal="center" vertical="center" shrinkToFit="1"/>
    </xf>
    <xf numFmtId="177" fontId="4" fillId="5" borderId="25" xfId="1" applyNumberFormat="1" applyFont="1" applyFill="1" applyBorder="1" applyAlignment="1">
      <alignment vertical="center"/>
    </xf>
    <xf numFmtId="177" fontId="4" fillId="5" borderId="26" xfId="1" applyNumberFormat="1" applyFont="1" applyFill="1" applyBorder="1" applyAlignment="1">
      <alignment vertical="center"/>
    </xf>
    <xf numFmtId="177" fontId="9" fillId="5" borderId="27" xfId="1" applyNumberFormat="1" applyFont="1" applyFill="1" applyBorder="1" applyAlignment="1">
      <alignment vertical="center"/>
    </xf>
    <xf numFmtId="177" fontId="9" fillId="5" borderId="16" xfId="1" applyNumberFormat="1" applyFont="1" applyFill="1" applyBorder="1" applyAlignment="1">
      <alignment vertical="center"/>
    </xf>
    <xf numFmtId="177" fontId="9" fillId="5" borderId="28" xfId="1" applyNumberFormat="1" applyFont="1" applyFill="1" applyBorder="1" applyAlignment="1">
      <alignment vertical="center"/>
    </xf>
    <xf numFmtId="177" fontId="9" fillId="5" borderId="9" xfId="1" applyNumberFormat="1" applyFont="1" applyFill="1" applyBorder="1" applyAlignment="1">
      <alignment vertical="center"/>
    </xf>
    <xf numFmtId="177" fontId="9" fillId="5" borderId="22" xfId="1" applyNumberFormat="1" applyFont="1" applyFill="1" applyBorder="1" applyAlignment="1">
      <alignment vertical="center"/>
    </xf>
    <xf numFmtId="177" fontId="9" fillId="5" borderId="29" xfId="1" applyNumberFormat="1" applyFont="1" applyFill="1" applyBorder="1" applyAlignment="1">
      <alignment vertical="center"/>
    </xf>
    <xf numFmtId="177" fontId="9" fillId="5" borderId="4" xfId="1" applyNumberFormat="1" applyFont="1" applyFill="1" applyBorder="1" applyAlignment="1">
      <alignment vertical="center"/>
    </xf>
    <xf numFmtId="177" fontId="9" fillId="5" borderId="12" xfId="1" applyNumberFormat="1" applyFont="1" applyFill="1" applyBorder="1" applyAlignment="1">
      <alignment vertical="center"/>
    </xf>
    <xf numFmtId="177" fontId="9" fillId="5" borderId="17" xfId="1" applyNumberFormat="1" applyFont="1" applyFill="1" applyBorder="1" applyAlignment="1">
      <alignment vertical="center"/>
    </xf>
    <xf numFmtId="177" fontId="9" fillId="5" borderId="30" xfId="1" applyNumberFormat="1" applyFont="1" applyFill="1" applyBorder="1" applyAlignment="1">
      <alignment vertical="center"/>
    </xf>
    <xf numFmtId="177" fontId="9" fillId="5" borderId="31" xfId="1" applyNumberFormat="1" applyFont="1" applyFill="1" applyBorder="1" applyAlignment="1">
      <alignment vertical="center"/>
    </xf>
    <xf numFmtId="176" fontId="4" fillId="0" borderId="1" xfId="0" applyNumberFormat="1" applyFont="1" applyBorder="1" applyAlignment="1">
      <alignment horizontal="right" vertical="center"/>
    </xf>
    <xf numFmtId="176" fontId="4" fillId="0" borderId="1" xfId="1" applyNumberFormat="1" applyFont="1" applyBorder="1" applyAlignment="1">
      <alignment horizontal="right" vertical="center"/>
    </xf>
    <xf numFmtId="177" fontId="5" fillId="3" borderId="9" xfId="1" applyNumberFormat="1" applyFont="1" applyFill="1" applyBorder="1" applyAlignment="1">
      <alignment horizontal="center" vertical="center" wrapText="1"/>
    </xf>
    <xf numFmtId="177" fontId="4" fillId="3" borderId="9" xfId="1" applyNumberFormat="1" applyFont="1" applyFill="1" applyBorder="1" applyAlignment="1">
      <alignment horizontal="right" vertical="center" wrapText="1"/>
    </xf>
    <xf numFmtId="177" fontId="4" fillId="0" borderId="0" xfId="0" applyNumberFormat="1" applyFont="1" applyAlignment="1">
      <alignment vertical="center" wrapText="1"/>
    </xf>
    <xf numFmtId="0" fontId="4" fillId="0" borderId="1" xfId="0" applyFont="1" applyBorder="1" applyAlignment="1">
      <alignment vertical="center" wrapText="1"/>
    </xf>
    <xf numFmtId="177" fontId="4" fillId="0" borderId="5" xfId="1" applyNumberFormat="1" applyFont="1" applyFill="1" applyBorder="1" applyAlignment="1">
      <alignment vertical="center"/>
    </xf>
    <xf numFmtId="177" fontId="14" fillId="5" borderId="3" xfId="1" applyNumberFormat="1" applyFont="1" applyFill="1" applyBorder="1" applyAlignment="1">
      <alignment vertical="center"/>
    </xf>
    <xf numFmtId="177" fontId="15" fillId="5" borderId="24" xfId="1" applyNumberFormat="1" applyFont="1" applyFill="1" applyBorder="1" applyAlignment="1">
      <alignment vertical="center"/>
    </xf>
    <xf numFmtId="177" fontId="15" fillId="5" borderId="1" xfId="1" applyNumberFormat="1" applyFont="1" applyFill="1" applyBorder="1" applyAlignment="1">
      <alignment vertical="center"/>
    </xf>
    <xf numFmtId="177" fontId="15" fillId="5" borderId="9" xfId="1" applyNumberFormat="1" applyFont="1" applyFill="1" applyBorder="1" applyAlignment="1">
      <alignment vertical="center"/>
    </xf>
    <xf numFmtId="177" fontId="14" fillId="5" borderId="16" xfId="1" applyNumberFormat="1" applyFont="1" applyFill="1" applyBorder="1" applyAlignment="1">
      <alignment vertical="center"/>
    </xf>
    <xf numFmtId="177" fontId="15" fillId="5" borderId="5" xfId="1" applyNumberFormat="1" applyFont="1" applyFill="1" applyBorder="1" applyAlignment="1">
      <alignment vertical="center"/>
    </xf>
    <xf numFmtId="177" fontId="15" fillId="5" borderId="23" xfId="1" applyNumberFormat="1" applyFont="1" applyFill="1" applyBorder="1" applyAlignment="1">
      <alignment vertical="center"/>
    </xf>
    <xf numFmtId="177" fontId="14" fillId="5" borderId="9" xfId="1" applyNumberFormat="1" applyFont="1" applyFill="1" applyBorder="1" applyAlignment="1">
      <alignment vertical="center"/>
    </xf>
    <xf numFmtId="0" fontId="15" fillId="0" borderId="0" xfId="1" applyFont="1" applyAlignment="1">
      <alignment vertical="center"/>
    </xf>
    <xf numFmtId="177" fontId="15" fillId="4" borderId="17" xfId="1" applyNumberFormat="1" applyFont="1" applyFill="1" applyBorder="1" applyAlignment="1">
      <alignment vertical="center"/>
    </xf>
    <xf numFmtId="177" fontId="15" fillId="0" borderId="1" xfId="1" applyNumberFormat="1" applyFont="1" applyBorder="1" applyAlignment="1">
      <alignment vertical="center"/>
    </xf>
    <xf numFmtId="177" fontId="15" fillId="0" borderId="6" xfId="1" applyNumberFormat="1" applyFont="1" applyBorder="1" applyAlignment="1">
      <alignment vertical="center"/>
    </xf>
    <xf numFmtId="177" fontId="15" fillId="0" borderId="2" xfId="1" applyNumberFormat="1" applyFont="1" applyBorder="1" applyAlignment="1">
      <alignment vertical="center"/>
    </xf>
    <xf numFmtId="176" fontId="17" fillId="0" borderId="0" xfId="1" applyNumberFormat="1" applyFont="1" applyAlignment="1">
      <alignment horizontal="left" vertical="center"/>
    </xf>
    <xf numFmtId="176" fontId="14" fillId="0" borderId="0" xfId="1" applyNumberFormat="1" applyFont="1" applyAlignment="1">
      <alignment horizontal="left" vertical="center"/>
    </xf>
    <xf numFmtId="176" fontId="15" fillId="0" borderId="0" xfId="1" applyNumberFormat="1" applyFont="1" applyAlignment="1">
      <alignment vertical="center"/>
    </xf>
    <xf numFmtId="176" fontId="18" fillId="0" borderId="0" xfId="1" applyNumberFormat="1" applyFont="1" applyAlignment="1">
      <alignment horizontal="right" vertical="center"/>
    </xf>
    <xf numFmtId="176" fontId="19" fillId="0" borderId="32" xfId="1" applyNumberFormat="1" applyFont="1" applyBorder="1" applyAlignment="1">
      <alignment horizontal="center" vertical="center"/>
    </xf>
    <xf numFmtId="176" fontId="19" fillId="0" borderId="24" xfId="1" applyNumberFormat="1" applyFont="1" applyBorder="1" applyAlignment="1">
      <alignment horizontal="center" vertical="center"/>
    </xf>
    <xf numFmtId="176" fontId="19" fillId="0" borderId="24" xfId="1" applyNumberFormat="1" applyFont="1" applyBorder="1" applyAlignment="1">
      <alignment horizontal="center" vertical="center" shrinkToFit="1"/>
    </xf>
    <xf numFmtId="176" fontId="19" fillId="0" borderId="25" xfId="1" applyNumberFormat="1" applyFont="1" applyBorder="1" applyAlignment="1">
      <alignment horizontal="center" vertical="center" shrinkToFit="1"/>
    </xf>
    <xf numFmtId="176" fontId="19" fillId="0" borderId="5" xfId="1" applyNumberFormat="1" applyFont="1" applyBorder="1" applyAlignment="1">
      <alignment vertical="center" shrinkToFit="1"/>
    </xf>
    <xf numFmtId="176" fontId="15" fillId="0" borderId="5" xfId="1" applyNumberFormat="1" applyFont="1" applyBorder="1" applyAlignment="1">
      <alignment vertical="center"/>
    </xf>
    <xf numFmtId="176" fontId="15" fillId="0" borderId="25" xfId="1" applyNumberFormat="1" applyFont="1" applyBorder="1" applyAlignment="1">
      <alignment vertical="center"/>
    </xf>
    <xf numFmtId="176" fontId="19" fillId="0" borderId="1" xfId="1" applyNumberFormat="1" applyFont="1" applyBorder="1" applyAlignment="1">
      <alignment vertical="center" shrinkToFit="1"/>
    </xf>
    <xf numFmtId="176" fontId="15" fillId="0" borderId="1" xfId="1" applyNumberFormat="1" applyFont="1" applyBorder="1" applyAlignment="1">
      <alignment vertical="center"/>
    </xf>
    <xf numFmtId="176" fontId="15" fillId="0" borderId="2" xfId="1" applyNumberFormat="1" applyFont="1" applyBorder="1" applyAlignment="1">
      <alignment vertical="center"/>
    </xf>
    <xf numFmtId="176" fontId="19" fillId="4" borderId="16" xfId="1" applyNumberFormat="1" applyFont="1" applyFill="1" applyBorder="1" applyAlignment="1">
      <alignment vertical="center" shrinkToFit="1"/>
    </xf>
    <xf numFmtId="176" fontId="15" fillId="4" borderId="16" xfId="1" applyNumberFormat="1" applyFont="1" applyFill="1" applyBorder="1" applyAlignment="1">
      <alignment vertical="center"/>
    </xf>
    <xf numFmtId="176" fontId="15" fillId="0" borderId="6" xfId="1" applyNumberFormat="1" applyFont="1" applyBorder="1" applyAlignment="1">
      <alignment vertical="center"/>
    </xf>
    <xf numFmtId="176" fontId="15" fillId="0" borderId="0" xfId="1" applyNumberFormat="1" applyFont="1" applyFill="1" applyAlignment="1">
      <alignment vertical="center"/>
    </xf>
    <xf numFmtId="176" fontId="19" fillId="0" borderId="3" xfId="1" applyNumberFormat="1" applyFont="1" applyBorder="1" applyAlignment="1">
      <alignment vertical="center" shrinkToFit="1"/>
    </xf>
    <xf numFmtId="176" fontId="15" fillId="0" borderId="3" xfId="1" applyNumberFormat="1" applyFont="1" applyBorder="1" applyAlignment="1">
      <alignment vertical="center"/>
    </xf>
    <xf numFmtId="176" fontId="15" fillId="0" borderId="4" xfId="1" applyNumberFormat="1" applyFont="1" applyBorder="1" applyAlignment="1">
      <alignment vertical="center"/>
    </xf>
    <xf numFmtId="176" fontId="19" fillId="4" borderId="9" xfId="1" applyNumberFormat="1" applyFont="1" applyFill="1" applyBorder="1" applyAlignment="1">
      <alignment vertical="center" shrinkToFit="1"/>
    </xf>
    <xf numFmtId="176" fontId="15" fillId="4" borderId="9" xfId="1" applyNumberFormat="1" applyFont="1" applyFill="1" applyBorder="1" applyAlignment="1">
      <alignment vertical="center"/>
    </xf>
    <xf numFmtId="0" fontId="20" fillId="0" borderId="0" xfId="1" applyFont="1" applyAlignment="1">
      <alignment vertical="center"/>
    </xf>
    <xf numFmtId="0" fontId="15" fillId="0" borderId="0" xfId="1" applyFont="1" applyAlignment="1">
      <alignment horizontal="right" vertical="center"/>
    </xf>
    <xf numFmtId="0" fontId="15" fillId="0" borderId="0" xfId="1" applyFont="1" applyBorder="1" applyAlignment="1">
      <alignment vertical="center"/>
    </xf>
    <xf numFmtId="0" fontId="19" fillId="0" borderId="1" xfId="1" applyFont="1" applyBorder="1" applyAlignment="1">
      <alignment vertical="center"/>
    </xf>
    <xf numFmtId="177" fontId="14" fillId="0" borderId="2" xfId="1" applyNumberFormat="1" applyFont="1" applyBorder="1" applyAlignment="1">
      <alignment vertical="center"/>
    </xf>
    <xf numFmtId="0" fontId="19" fillId="0" borderId="16" xfId="1" applyFont="1" applyBorder="1" applyAlignment="1">
      <alignment vertical="center" wrapText="1"/>
    </xf>
    <xf numFmtId="177" fontId="15" fillId="0" borderId="16" xfId="1" applyNumberFormat="1" applyFont="1" applyBorder="1" applyAlignment="1">
      <alignment vertical="center"/>
    </xf>
    <xf numFmtId="0" fontId="19" fillId="0" borderId="0" xfId="1" applyFont="1" applyAlignment="1">
      <alignment vertical="center"/>
    </xf>
    <xf numFmtId="0" fontId="4" fillId="0" borderId="33" xfId="0" applyFont="1" applyBorder="1" applyAlignment="1">
      <alignment vertical="center" wrapText="1"/>
    </xf>
    <xf numFmtId="176" fontId="4" fillId="0" borderId="0" xfId="0" applyNumberFormat="1" applyFont="1" applyAlignment="1">
      <alignment vertical="center"/>
    </xf>
    <xf numFmtId="176" fontId="4" fillId="0" borderId="3" xfId="0" applyNumberFormat="1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right" vertical="center" wrapText="1"/>
    </xf>
    <xf numFmtId="177" fontId="4" fillId="3" borderId="34" xfId="1" applyNumberFormat="1" applyFont="1" applyFill="1" applyBorder="1" applyAlignment="1">
      <alignment horizontal="right" vertical="center" wrapText="1"/>
    </xf>
    <xf numFmtId="177" fontId="0" fillId="0" borderId="35" xfId="1" applyNumberFormat="1" applyFont="1" applyBorder="1" applyAlignment="1">
      <alignment horizontal="center" vertical="center"/>
    </xf>
    <xf numFmtId="177" fontId="4" fillId="0" borderId="36" xfId="1" applyNumberFormat="1" applyFont="1" applyBorder="1" applyAlignment="1">
      <alignment vertical="center"/>
    </xf>
    <xf numFmtId="177" fontId="4" fillId="4" borderId="37" xfId="1" applyNumberFormat="1" applyFont="1" applyFill="1" applyBorder="1" applyAlignment="1">
      <alignment vertical="center"/>
    </xf>
    <xf numFmtId="177" fontId="4" fillId="0" borderId="10" xfId="1" applyNumberFormat="1" applyFont="1" applyBorder="1" applyAlignment="1">
      <alignment vertical="center"/>
    </xf>
    <xf numFmtId="177" fontId="4" fillId="4" borderId="12" xfId="1" applyNumberFormat="1" applyFont="1" applyFill="1" applyBorder="1" applyAlignment="1">
      <alignment vertical="center"/>
    </xf>
    <xf numFmtId="177" fontId="1" fillId="0" borderId="32" xfId="1" applyNumberFormat="1" applyFont="1" applyBorder="1" applyAlignment="1">
      <alignment vertical="center" wrapText="1"/>
    </xf>
    <xf numFmtId="0" fontId="5" fillId="0" borderId="25" xfId="1" applyFont="1" applyBorder="1" applyAlignment="1">
      <alignment horizontal="center" vertical="center" wrapText="1"/>
    </xf>
    <xf numFmtId="177" fontId="4" fillId="4" borderId="30" xfId="1" applyNumberFormat="1" applyFont="1" applyFill="1" applyBorder="1" applyAlignment="1">
      <alignment vertical="center"/>
    </xf>
    <xf numFmtId="177" fontId="4" fillId="4" borderId="22" xfId="1" applyNumberFormat="1" applyFont="1" applyFill="1" applyBorder="1" applyAlignment="1">
      <alignment vertical="center"/>
    </xf>
    <xf numFmtId="177" fontId="4" fillId="0" borderId="38" xfId="1" applyNumberFormat="1" applyFont="1" applyBorder="1" applyAlignment="1">
      <alignment vertical="center"/>
    </xf>
    <xf numFmtId="177" fontId="4" fillId="4" borderId="14" xfId="1" applyNumberFormat="1" applyFont="1" applyFill="1" applyBorder="1" applyAlignment="1">
      <alignment vertical="center"/>
    </xf>
    <xf numFmtId="177" fontId="4" fillId="4" borderId="21" xfId="1" applyNumberFormat="1" applyFont="1" applyFill="1" applyBorder="1" applyAlignment="1">
      <alignment vertical="center"/>
    </xf>
    <xf numFmtId="177" fontId="4" fillId="4" borderId="2" xfId="1" applyNumberFormat="1" applyFont="1" applyFill="1" applyBorder="1" applyAlignment="1">
      <alignment vertical="center"/>
    </xf>
    <xf numFmtId="177" fontId="4" fillId="0" borderId="25" xfId="1" applyNumberFormat="1" applyFont="1" applyBorder="1" applyAlignment="1">
      <alignment vertical="center"/>
    </xf>
    <xf numFmtId="177" fontId="15" fillId="0" borderId="4" xfId="1" applyNumberFormat="1" applyFont="1" applyBorder="1" applyAlignment="1">
      <alignment vertical="center"/>
    </xf>
    <xf numFmtId="177" fontId="15" fillId="4" borderId="22" xfId="1" applyNumberFormat="1" applyFont="1" applyFill="1" applyBorder="1" applyAlignment="1">
      <alignment vertical="center"/>
    </xf>
    <xf numFmtId="176" fontId="15" fillId="0" borderId="0" xfId="1" applyNumberFormat="1" applyFont="1" applyBorder="1" applyAlignment="1">
      <alignment vertical="center"/>
    </xf>
    <xf numFmtId="176" fontId="15" fillId="4" borderId="17" xfId="1" applyNumberFormat="1" applyFont="1" applyFill="1" applyBorder="1" applyAlignment="1">
      <alignment vertical="center"/>
    </xf>
    <xf numFmtId="176" fontId="15" fillId="4" borderId="22" xfId="1" applyNumberFormat="1" applyFont="1" applyFill="1" applyBorder="1" applyAlignment="1">
      <alignment vertical="center"/>
    </xf>
    <xf numFmtId="0" fontId="19" fillId="0" borderId="3" xfId="1" applyFont="1" applyBorder="1" applyAlignment="1">
      <alignment vertical="center"/>
    </xf>
    <xf numFmtId="177" fontId="15" fillId="0" borderId="3" xfId="1" applyNumberFormat="1" applyFont="1" applyBorder="1" applyAlignment="1">
      <alignment vertical="center"/>
    </xf>
    <xf numFmtId="177" fontId="14" fillId="0" borderId="4" xfId="1" applyNumberFormat="1" applyFont="1" applyBorder="1" applyAlignment="1">
      <alignment vertical="center"/>
    </xf>
    <xf numFmtId="177" fontId="14" fillId="0" borderId="17" xfId="1" applyNumberFormat="1" applyFont="1" applyBorder="1" applyAlignment="1">
      <alignment vertical="center"/>
    </xf>
    <xf numFmtId="0" fontId="19" fillId="0" borderId="5" xfId="1" applyFont="1" applyBorder="1" applyAlignment="1">
      <alignment vertical="center"/>
    </xf>
    <xf numFmtId="177" fontId="15" fillId="0" borderId="5" xfId="1" applyNumberFormat="1" applyFont="1" applyBorder="1" applyAlignment="1">
      <alignment vertical="center"/>
    </xf>
    <xf numFmtId="177" fontId="14" fillId="0" borderId="6" xfId="1" applyNumberFormat="1" applyFont="1" applyBorder="1" applyAlignment="1">
      <alignment vertical="center"/>
    </xf>
    <xf numFmtId="176" fontId="4" fillId="0" borderId="0" xfId="0" applyNumberFormat="1" applyFont="1" applyAlignment="1">
      <alignment vertical="center" wrapText="1"/>
    </xf>
    <xf numFmtId="0" fontId="19" fillId="0" borderId="7" xfId="1" applyFont="1" applyFill="1" applyBorder="1" applyAlignment="1">
      <alignment horizontal="center" vertical="center"/>
    </xf>
    <xf numFmtId="0" fontId="19" fillId="0" borderId="8" xfId="1" applyFont="1" applyFill="1" applyBorder="1" applyAlignment="1">
      <alignment horizontal="center" vertical="center"/>
    </xf>
    <xf numFmtId="0" fontId="19" fillId="0" borderId="39" xfId="1" applyFont="1" applyFill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 wrapText="1"/>
    </xf>
    <xf numFmtId="0" fontId="4" fillId="6" borderId="1" xfId="0" applyFont="1" applyFill="1" applyBorder="1" applyAlignment="1">
      <alignment vertical="center"/>
    </xf>
    <xf numFmtId="176" fontId="4" fillId="6" borderId="1" xfId="0" applyNumberFormat="1" applyFont="1" applyFill="1" applyBorder="1" applyAlignment="1">
      <alignment vertical="center"/>
    </xf>
    <xf numFmtId="176" fontId="4" fillId="0" borderId="1" xfId="0" applyNumberFormat="1" applyFont="1" applyBorder="1" applyAlignment="1">
      <alignment vertical="center"/>
    </xf>
    <xf numFmtId="0" fontId="5" fillId="0" borderId="9" xfId="1" applyFont="1" applyBorder="1" applyAlignment="1">
      <alignment horizontal="center" vertical="center" wrapText="1" shrinkToFit="1"/>
    </xf>
    <xf numFmtId="0" fontId="15" fillId="0" borderId="0" xfId="1" applyFont="1" applyAlignment="1">
      <alignment vertical="center"/>
    </xf>
    <xf numFmtId="177" fontId="4" fillId="7" borderId="1" xfId="0" applyNumberFormat="1" applyFont="1" applyFill="1" applyBorder="1" applyAlignment="1">
      <alignment vertical="center" wrapText="1"/>
    </xf>
    <xf numFmtId="176" fontId="4" fillId="7" borderId="1" xfId="0" applyNumberFormat="1" applyFont="1" applyFill="1" applyBorder="1" applyAlignment="1">
      <alignment vertical="center" wrapText="1"/>
    </xf>
    <xf numFmtId="0" fontId="15" fillId="0" borderId="0" xfId="1" applyFont="1" applyAlignment="1">
      <alignment vertical="center"/>
    </xf>
    <xf numFmtId="0" fontId="15" fillId="0" borderId="0" xfId="1" applyFont="1" applyAlignment="1">
      <alignment vertical="center"/>
    </xf>
    <xf numFmtId="177" fontId="4" fillId="0" borderId="15" xfId="1" applyNumberFormat="1" applyFont="1" applyFill="1" applyBorder="1" applyAlignment="1">
      <alignment vertical="center"/>
    </xf>
    <xf numFmtId="176" fontId="4" fillId="7" borderId="1" xfId="0" applyNumberFormat="1" applyFont="1" applyFill="1" applyBorder="1" applyAlignment="1">
      <alignment horizontal="right" vertical="center"/>
    </xf>
    <xf numFmtId="0" fontId="15" fillId="0" borderId="0" xfId="1" applyFont="1" applyAlignment="1">
      <alignment vertical="center"/>
    </xf>
    <xf numFmtId="177" fontId="15" fillId="0" borderId="16" xfId="1" applyNumberFormat="1" applyFont="1" applyFill="1" applyBorder="1" applyAlignment="1">
      <alignment vertical="center"/>
    </xf>
    <xf numFmtId="177" fontId="27" fillId="8" borderId="21" xfId="4" applyNumberFormat="1" applyBorder="1" applyAlignment="1">
      <alignment vertical="center"/>
    </xf>
    <xf numFmtId="177" fontId="27" fillId="8" borderId="1" xfId="4" applyNumberFormat="1" applyBorder="1" applyAlignment="1">
      <alignment vertical="center"/>
    </xf>
    <xf numFmtId="0" fontId="15" fillId="0" borderId="0" xfId="1" applyFont="1" applyAlignment="1">
      <alignment vertical="center"/>
    </xf>
    <xf numFmtId="176" fontId="4" fillId="0" borderId="1" xfId="0" applyNumberFormat="1" applyFont="1" applyFill="1" applyBorder="1" applyAlignment="1">
      <alignment vertical="center" wrapText="1"/>
    </xf>
    <xf numFmtId="176" fontId="4" fillId="0" borderId="1" xfId="3" applyNumberFormat="1" applyFont="1" applyFill="1" applyBorder="1" applyAlignment="1">
      <alignment vertical="center" wrapText="1"/>
    </xf>
    <xf numFmtId="177" fontId="4" fillId="0" borderId="1" xfId="0" applyNumberFormat="1" applyFont="1" applyFill="1" applyBorder="1" applyAlignment="1">
      <alignment vertical="center" wrapText="1"/>
    </xf>
    <xf numFmtId="178" fontId="4" fillId="0" borderId="0" xfId="3" applyNumberFormat="1" applyFont="1" applyAlignment="1">
      <alignment vertical="center"/>
    </xf>
    <xf numFmtId="177" fontId="4" fillId="0" borderId="1" xfId="1" applyNumberFormat="1" applyFont="1" applyBorder="1" applyAlignment="1">
      <alignment vertical="center"/>
    </xf>
    <xf numFmtId="177" fontId="4" fillId="0" borderId="21" xfId="1" applyNumberFormat="1" applyFont="1" applyBorder="1" applyAlignment="1">
      <alignment vertical="center"/>
    </xf>
    <xf numFmtId="177" fontId="4" fillId="0" borderId="5" xfId="1" applyNumberFormat="1" applyFont="1" applyFill="1" applyBorder="1" applyAlignment="1">
      <alignment vertical="center"/>
    </xf>
    <xf numFmtId="177" fontId="4" fillId="0" borderId="15" xfId="1" applyNumberFormat="1" applyFont="1" applyFill="1" applyBorder="1" applyAlignment="1">
      <alignment vertical="center"/>
    </xf>
    <xf numFmtId="177" fontId="4" fillId="0" borderId="20" xfId="1" applyNumberFormat="1" applyFont="1" applyFill="1" applyBorder="1" applyAlignment="1">
      <alignment vertical="center"/>
    </xf>
    <xf numFmtId="0" fontId="1" fillId="0" borderId="0" xfId="1" applyAlignment="1">
      <alignment vertical="center"/>
    </xf>
    <xf numFmtId="177" fontId="5" fillId="0" borderId="0" xfId="1" applyNumberFormat="1" applyFont="1" applyAlignment="1">
      <alignment vertical="center"/>
    </xf>
    <xf numFmtId="0" fontId="0" fillId="0" borderId="1" xfId="0" applyBorder="1" applyAlignment="1">
      <alignment horizontal="center" vertical="center" wrapText="1"/>
    </xf>
    <xf numFmtId="177" fontId="5" fillId="0" borderId="1" xfId="1" applyNumberFormat="1" applyFont="1" applyBorder="1" applyAlignment="1">
      <alignment horizontal="center" vertical="center" wrapText="1"/>
    </xf>
    <xf numFmtId="177" fontId="4" fillId="0" borderId="1" xfId="1" applyNumberFormat="1" applyFont="1" applyBorder="1" applyAlignment="1">
      <alignment horizontal="right" vertical="center" wrapText="1"/>
    </xf>
    <xf numFmtId="0" fontId="0" fillId="0" borderId="1" xfId="0" applyBorder="1" applyAlignment="1">
      <alignment horizontal="center" vertical="center"/>
    </xf>
    <xf numFmtId="177" fontId="6" fillId="0" borderId="1" xfId="1" applyNumberFormat="1" applyFont="1" applyFill="1" applyBorder="1" applyAlignment="1">
      <alignment horizontal="center" vertical="center" wrapText="1"/>
    </xf>
    <xf numFmtId="0" fontId="15" fillId="0" borderId="0" xfId="1" applyFont="1" applyAlignment="1">
      <alignment vertical="center"/>
    </xf>
    <xf numFmtId="0" fontId="5" fillId="0" borderId="0" xfId="0" applyFont="1" applyAlignment="1">
      <alignment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8" fillId="0" borderId="9" xfId="1" applyFont="1" applyBorder="1" applyAlignment="1">
      <alignment horizontal="center" vertical="center" wrapText="1"/>
    </xf>
    <xf numFmtId="0" fontId="7" fillId="0" borderId="3" xfId="1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13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11" fillId="0" borderId="0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7" fontId="13" fillId="0" borderId="11" xfId="1" applyNumberFormat="1" applyFont="1" applyBorder="1" applyAlignment="1">
      <alignment horizontal="center" vertical="center" wrapText="1"/>
    </xf>
    <xf numFmtId="177" fontId="4" fillId="0" borderId="19" xfId="1" applyNumberFormat="1" applyFont="1" applyBorder="1" applyAlignment="1">
      <alignment horizontal="center" vertical="center" wrapText="1"/>
    </xf>
    <xf numFmtId="177" fontId="4" fillId="0" borderId="18" xfId="1" applyNumberFormat="1" applyFont="1" applyBorder="1" applyAlignment="1">
      <alignment horizontal="center" vertical="center" wrapText="1"/>
    </xf>
    <xf numFmtId="177" fontId="4" fillId="0" borderId="15" xfId="1" applyNumberFormat="1" applyFont="1" applyBorder="1" applyAlignment="1">
      <alignment horizontal="center" vertical="center"/>
    </xf>
    <xf numFmtId="177" fontId="4" fillId="0" borderId="21" xfId="1" applyNumberFormat="1" applyFont="1" applyBorder="1" applyAlignment="1">
      <alignment horizontal="center" vertical="center"/>
    </xf>
    <xf numFmtId="177" fontId="4" fillId="0" borderId="30" xfId="1" applyNumberFormat="1" applyFont="1" applyBorder="1" applyAlignment="1">
      <alignment horizontal="center" vertical="center"/>
    </xf>
    <xf numFmtId="0" fontId="10" fillId="0" borderId="0" xfId="1" applyFont="1" applyAlignment="1">
      <alignment horizontal="center" vertical="center"/>
    </xf>
    <xf numFmtId="177" fontId="4" fillId="0" borderId="40" xfId="1" applyNumberFormat="1" applyFont="1" applyBorder="1" applyAlignment="1">
      <alignment horizontal="center" vertical="center"/>
    </xf>
    <xf numFmtId="177" fontId="4" fillId="0" borderId="41" xfId="1" applyNumberFormat="1" applyFont="1" applyBorder="1" applyAlignment="1">
      <alignment horizontal="center" vertical="center"/>
    </xf>
    <xf numFmtId="177" fontId="4" fillId="0" borderId="32" xfId="1" applyNumberFormat="1" applyFont="1" applyBorder="1" applyAlignment="1">
      <alignment horizontal="center" vertical="center" wrapText="1"/>
    </xf>
    <xf numFmtId="177" fontId="4" fillId="0" borderId="40" xfId="1" applyNumberFormat="1" applyFont="1" applyBorder="1" applyAlignment="1">
      <alignment horizontal="center" vertical="center" wrapText="1"/>
    </xf>
    <xf numFmtId="177" fontId="4" fillId="0" borderId="41" xfId="1" applyNumberFormat="1" applyFont="1" applyBorder="1" applyAlignment="1">
      <alignment horizontal="center" vertical="center" wrapText="1"/>
    </xf>
    <xf numFmtId="177" fontId="4" fillId="0" borderId="38" xfId="1" applyNumberFormat="1" applyFont="1" applyBorder="1" applyAlignment="1">
      <alignment horizontal="center" vertical="center"/>
    </xf>
    <xf numFmtId="177" fontId="4" fillId="0" borderId="38" xfId="1" applyNumberFormat="1" applyFont="1" applyBorder="1" applyAlignment="1">
      <alignment horizontal="center" vertical="center" wrapText="1"/>
    </xf>
    <xf numFmtId="176" fontId="5" fillId="0" borderId="15" xfId="1" applyNumberFormat="1" applyFont="1" applyBorder="1" applyAlignment="1">
      <alignment horizontal="center" vertical="center"/>
    </xf>
    <xf numFmtId="176" fontId="4" fillId="0" borderId="14" xfId="1" applyNumberFormat="1" applyFont="1" applyBorder="1" applyAlignment="1">
      <alignment horizontal="center" vertical="center"/>
    </xf>
    <xf numFmtId="176" fontId="5" fillId="0" borderId="10" xfId="1" applyNumberFormat="1" applyFont="1" applyBorder="1" applyAlignment="1">
      <alignment horizontal="center" vertical="center"/>
    </xf>
    <xf numFmtId="176" fontId="4" fillId="0" borderId="42" xfId="1" applyNumberFormat="1" applyFont="1" applyBorder="1" applyAlignment="1">
      <alignment horizontal="center" vertical="center"/>
    </xf>
    <xf numFmtId="0" fontId="5" fillId="5" borderId="25" xfId="1" applyFont="1" applyFill="1" applyBorder="1" applyAlignment="1">
      <alignment horizontal="center" vertical="center" shrinkToFit="1"/>
    </xf>
    <xf numFmtId="0" fontId="4" fillId="5" borderId="43" xfId="1" applyFont="1" applyFill="1" applyBorder="1" applyAlignment="1">
      <alignment horizontal="center" vertical="center" shrinkToFit="1"/>
    </xf>
    <xf numFmtId="0" fontId="5" fillId="0" borderId="20" xfId="1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/>
    </xf>
    <xf numFmtId="0" fontId="5" fillId="0" borderId="15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4" fillId="0" borderId="15" xfId="1" applyFont="1" applyBorder="1" applyAlignment="1">
      <alignment horizontal="center" vertical="center" wrapText="1"/>
    </xf>
    <xf numFmtId="0" fontId="4" fillId="0" borderId="21" xfId="1" applyFont="1" applyBorder="1" applyAlignment="1">
      <alignment horizontal="center" vertical="center"/>
    </xf>
    <xf numFmtId="0" fontId="4" fillId="0" borderId="30" xfId="1" applyFont="1" applyBorder="1" applyAlignment="1">
      <alignment horizontal="center" vertical="center"/>
    </xf>
    <xf numFmtId="0" fontId="4" fillId="0" borderId="15" xfId="1" applyFont="1" applyBorder="1" applyAlignment="1">
      <alignment horizontal="center" vertical="center"/>
    </xf>
    <xf numFmtId="177" fontId="11" fillId="0" borderId="0" xfId="1" applyNumberFormat="1" applyFont="1" applyAlignment="1">
      <alignment horizontal="center" vertical="center"/>
    </xf>
    <xf numFmtId="177" fontId="10" fillId="0" borderId="0" xfId="1" applyNumberFormat="1" applyFont="1" applyAlignment="1">
      <alignment horizontal="center" vertical="center"/>
    </xf>
    <xf numFmtId="177" fontId="4" fillId="0" borderId="14" xfId="1" applyNumberFormat="1" applyFont="1" applyBorder="1" applyAlignment="1">
      <alignment horizontal="center" vertical="center"/>
    </xf>
    <xf numFmtId="177" fontId="4" fillId="0" borderId="15" xfId="1" applyNumberFormat="1" applyFont="1" applyBorder="1" applyAlignment="1">
      <alignment horizontal="center" vertical="center" wrapText="1"/>
    </xf>
    <xf numFmtId="0" fontId="0" fillId="0" borderId="44" xfId="0" applyBorder="1" applyAlignment="1">
      <alignment horizontal="left" vertical="center" wrapText="1"/>
    </xf>
    <xf numFmtId="0" fontId="0" fillId="0" borderId="0" xfId="0" applyAlignment="1">
      <alignment horizontal="left" vertical="top" wrapText="1"/>
    </xf>
    <xf numFmtId="176" fontId="15" fillId="0" borderId="38" xfId="1" applyNumberFormat="1" applyFont="1" applyBorder="1" applyAlignment="1">
      <alignment horizontal="center" vertical="center"/>
    </xf>
    <xf numFmtId="176" fontId="15" fillId="0" borderId="21" xfId="1" applyNumberFormat="1" applyFont="1" applyBorder="1" applyAlignment="1">
      <alignment horizontal="center" vertical="center"/>
    </xf>
    <xf numFmtId="176" fontId="15" fillId="0" borderId="14" xfId="1" applyNumberFormat="1" applyFont="1" applyBorder="1" applyAlignment="1">
      <alignment horizontal="center" vertical="center"/>
    </xf>
    <xf numFmtId="176" fontId="15" fillId="0" borderId="15" xfId="1" applyNumberFormat="1" applyFont="1" applyBorder="1" applyAlignment="1">
      <alignment horizontal="center" vertical="center"/>
    </xf>
    <xf numFmtId="176" fontId="15" fillId="0" borderId="30" xfId="1" applyNumberFormat="1" applyFont="1" applyBorder="1" applyAlignment="1">
      <alignment horizontal="center" vertical="center"/>
    </xf>
    <xf numFmtId="176" fontId="16" fillId="0" borderId="0" xfId="1" applyNumberFormat="1" applyFont="1" applyAlignment="1">
      <alignment horizontal="center" vertical="center"/>
    </xf>
    <xf numFmtId="176" fontId="17" fillId="0" borderId="0" xfId="1" applyNumberFormat="1" applyFont="1" applyAlignment="1">
      <alignment horizontal="center" vertical="center"/>
    </xf>
    <xf numFmtId="176" fontId="15" fillId="0" borderId="32" xfId="1" applyNumberFormat="1" applyFont="1" applyBorder="1" applyAlignment="1">
      <alignment horizontal="center" vertical="center" wrapText="1"/>
    </xf>
    <xf numFmtId="176" fontId="15" fillId="0" borderId="40" xfId="1" applyNumberFormat="1" applyFont="1" applyBorder="1" applyAlignment="1">
      <alignment horizontal="center" vertical="center" wrapText="1"/>
    </xf>
    <xf numFmtId="176" fontId="15" fillId="0" borderId="41" xfId="1" applyNumberFormat="1" applyFont="1" applyBorder="1" applyAlignment="1">
      <alignment horizontal="center" vertical="center" wrapText="1"/>
    </xf>
    <xf numFmtId="0" fontId="15" fillId="0" borderId="15" xfId="1" applyFont="1" applyBorder="1" applyAlignment="1">
      <alignment horizontal="center" vertical="center"/>
    </xf>
    <xf numFmtId="0" fontId="15" fillId="0" borderId="21" xfId="1" applyFont="1" applyBorder="1" applyAlignment="1">
      <alignment horizontal="center" vertical="center"/>
    </xf>
    <xf numFmtId="0" fontId="15" fillId="0" borderId="30" xfId="1" applyFont="1" applyBorder="1" applyAlignment="1">
      <alignment horizontal="center" vertical="center"/>
    </xf>
    <xf numFmtId="0" fontId="15" fillId="0" borderId="38" xfId="1" applyFont="1" applyBorder="1" applyAlignment="1">
      <alignment horizontal="center" vertical="center"/>
    </xf>
    <xf numFmtId="0" fontId="16" fillId="0" borderId="0" xfId="1" applyFont="1" applyAlignment="1">
      <alignment horizontal="center" vertical="center"/>
    </xf>
    <xf numFmtId="0" fontId="17" fillId="0" borderId="0" xfId="1" applyFont="1" applyAlignment="1">
      <alignment horizontal="center" vertical="center"/>
    </xf>
    <xf numFmtId="0" fontId="15" fillId="0" borderId="15" xfId="1" applyFont="1" applyBorder="1" applyAlignment="1">
      <alignment horizontal="center" vertical="center" wrapText="1"/>
    </xf>
    <xf numFmtId="0" fontId="15" fillId="0" borderId="0" xfId="1" applyFont="1" applyAlignment="1">
      <alignment vertical="center"/>
    </xf>
    <xf numFmtId="0" fontId="0" fillId="0" borderId="1" xfId="0" applyFont="1" applyBorder="1" applyAlignment="1">
      <alignment horizontal="center" vertical="center"/>
    </xf>
    <xf numFmtId="177" fontId="29" fillId="0" borderId="1" xfId="1" applyNumberFormat="1" applyFont="1" applyBorder="1" applyAlignment="1">
      <alignment horizontal="center" vertical="center" wrapText="1"/>
    </xf>
    <xf numFmtId="177" fontId="30" fillId="0" borderId="1" xfId="1" applyNumberFormat="1" applyFont="1" applyBorder="1" applyAlignment="1">
      <alignment horizontal="center" vertical="center" wrapText="1"/>
    </xf>
  </cellXfs>
  <cellStyles count="7">
    <cellStyle name="ĦĦĦĦĦĦĦĦĦĦĦĦĦĦĦĦĲĲľŐŐŐŐŐŐŐŐŢŢŢŢŢŢŢŢŢŢŢŢŢŢŢŢŢŢŢŢŢŢƀƀƀƀƌƌƠƠƲƲƲƶƶǆǆǆǖǖǖǖǮǮǮǮǮǮǮǮǮǮȆȆȦȦȾȾɜɜɜɜɜɜɜɜɜɜɜɜɜɜɜɜɜɜɜɜɜɜɜɜɜɜɜɨɨɨɨɴɴɴɴɴɴʂʂʜʜʜʜʜʜʜʲʲʲʲʲʲʲʲʲʲʲʲʲʲʲʲʲʲʲʲˈˈˈˈˈˈˈˈˈˈˈˈˈˈˈˈˈˈˈˈ˞˞˾˾˾˾˾˾˾˾˾˾̠̺̺͈͈͈͈̔͞͞͞͞͞͞͞͞͞͞ͼͼͼͼͼͼΚΚδδϒϒϨϨϨϨϨϨϨϨϾϾϾϾϾϾϾϾЊЊККККјќѬѬѬѬҀҀҀҀҀҀҀҀҀҀҀ" xfId="1" xr:uid="{00000000-0005-0000-0000-000000000000}"/>
    <cellStyle name="一般" xfId="0" builtinId="0"/>
    <cellStyle name="一般 2" xfId="2" xr:uid="{00000000-0005-0000-0000-000002000000}"/>
    <cellStyle name="千分位" xfId="3" builtinId="3"/>
    <cellStyle name="千分位 2" xfId="6" xr:uid="{45945F94-826C-43E3-B7CB-CBAD684A20D3}"/>
    <cellStyle name="千分位 3" xfId="5" xr:uid="{34E6E34D-3C5A-4635-9A16-4C3995BCC5A4}"/>
    <cellStyle name="壞" xfId="4" builtinId="2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86"/>
  <sheetViews>
    <sheetView view="pageBreakPreview" zoomScaleNormal="87" zoomScaleSheetLayoutView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G7" sqref="G7"/>
    </sheetView>
  </sheetViews>
  <sheetFormatPr defaultColWidth="9" defaultRowHeight="15.75"/>
  <cols>
    <col min="1" max="1" width="7.375" style="34" customWidth="1"/>
    <col min="2" max="2" width="9" style="34" customWidth="1"/>
    <col min="3" max="3" width="8" style="33" bestFit="1" customWidth="1"/>
    <col min="4" max="4" width="13.125" style="33" bestFit="1" customWidth="1"/>
    <col min="5" max="5" width="9.625" style="33" bestFit="1" customWidth="1"/>
    <col min="6" max="6" width="10.125" style="33" customWidth="1"/>
    <col min="7" max="7" width="8" style="33" bestFit="1" customWidth="1"/>
    <col min="8" max="8" width="12.25" style="33" customWidth="1"/>
    <col min="9" max="11" width="8.5" style="33" bestFit="1" customWidth="1"/>
    <col min="12" max="12" width="11.375" style="33" bestFit="1" customWidth="1"/>
    <col min="13" max="13" width="11.75" style="33" bestFit="1" customWidth="1"/>
    <col min="14" max="14" width="18.625" style="33" bestFit="1" customWidth="1"/>
    <col min="15" max="16" width="8" style="33" bestFit="1" customWidth="1"/>
    <col min="17" max="17" width="10" style="33" bestFit="1" customWidth="1"/>
    <col min="18" max="18" width="13.875" style="33" customWidth="1"/>
    <col min="19" max="19" width="12" style="33" customWidth="1"/>
    <col min="20" max="20" width="10.125" style="33" customWidth="1"/>
    <col min="21" max="21" width="11.625" style="33" customWidth="1"/>
    <col min="22" max="22" width="13.875" style="33" customWidth="1"/>
    <col min="23" max="16384" width="9" style="34"/>
  </cols>
  <sheetData>
    <row r="1" spans="1:22" ht="19.5">
      <c r="A1" s="234" t="s">
        <v>198</v>
      </c>
      <c r="B1" s="235"/>
      <c r="C1" s="235"/>
      <c r="D1" s="235"/>
      <c r="E1" s="235"/>
      <c r="F1" s="235"/>
      <c r="G1" s="235"/>
      <c r="H1" s="235"/>
      <c r="I1" s="235"/>
      <c r="J1" s="235"/>
      <c r="K1" s="235"/>
      <c r="L1" s="235"/>
      <c r="M1" s="235"/>
      <c r="N1" s="235"/>
      <c r="O1" s="235"/>
      <c r="P1" s="235"/>
      <c r="Q1" s="235"/>
      <c r="R1" s="235"/>
    </row>
    <row r="2" spans="1:22" ht="16.5">
      <c r="A2" s="35"/>
      <c r="V2" s="20" t="s">
        <v>43</v>
      </c>
    </row>
    <row r="3" spans="1:22" ht="26.25" customHeight="1">
      <c r="A3" s="226" t="s">
        <v>29</v>
      </c>
      <c r="B3" s="226" t="s">
        <v>0</v>
      </c>
      <c r="C3" s="232" t="s">
        <v>18</v>
      </c>
      <c r="D3" s="233"/>
      <c r="E3" s="233"/>
      <c r="F3" s="233"/>
      <c r="G3" s="233"/>
      <c r="H3" s="233"/>
      <c r="I3" s="233"/>
      <c r="J3" s="233"/>
      <c r="K3" s="233"/>
      <c r="L3" s="233"/>
      <c r="M3" s="233"/>
      <c r="N3" s="233"/>
      <c r="O3" s="233"/>
      <c r="P3" s="233"/>
      <c r="Q3" s="233"/>
      <c r="R3" s="227" t="s">
        <v>26</v>
      </c>
      <c r="S3" s="228"/>
      <c r="T3" s="228"/>
      <c r="U3" s="228"/>
      <c r="V3" s="227" t="s">
        <v>19</v>
      </c>
    </row>
    <row r="4" spans="1:22" s="33" customFormat="1" ht="16.5" customHeight="1">
      <c r="A4" s="218"/>
      <c r="B4" s="218"/>
      <c r="C4" s="229" t="s">
        <v>61</v>
      </c>
      <c r="D4" s="229" t="s">
        <v>132</v>
      </c>
      <c r="E4" s="223" t="s">
        <v>51</v>
      </c>
      <c r="F4" s="223" t="s">
        <v>52</v>
      </c>
      <c r="G4" s="223" t="s">
        <v>53</v>
      </c>
      <c r="H4" s="223" t="s">
        <v>54</v>
      </c>
      <c r="I4" s="221" t="s">
        <v>55</v>
      </c>
      <c r="J4" s="222"/>
      <c r="K4" s="223" t="s">
        <v>56</v>
      </c>
      <c r="L4" s="223" t="s">
        <v>58</v>
      </c>
      <c r="M4" s="231" t="s">
        <v>62</v>
      </c>
      <c r="N4" s="223" t="s">
        <v>59</v>
      </c>
      <c r="O4" s="223" t="s">
        <v>63</v>
      </c>
      <c r="P4" s="223" t="s">
        <v>60</v>
      </c>
      <c r="Q4" s="223" t="s">
        <v>27</v>
      </c>
      <c r="R4" s="231" t="s">
        <v>104</v>
      </c>
      <c r="S4" s="223" t="s">
        <v>170</v>
      </c>
      <c r="T4" s="223" t="s">
        <v>165</v>
      </c>
      <c r="U4" s="223" t="s">
        <v>27</v>
      </c>
      <c r="V4" s="228"/>
    </row>
    <row r="5" spans="1:22" s="36" customFormat="1" ht="39.75" customHeight="1">
      <c r="A5" s="219"/>
      <c r="B5" s="219"/>
      <c r="C5" s="230"/>
      <c r="D5" s="230"/>
      <c r="E5" s="224"/>
      <c r="F5" s="224"/>
      <c r="G5" s="224"/>
      <c r="H5" s="224"/>
      <c r="I5" s="30" t="s">
        <v>164</v>
      </c>
      <c r="J5" s="30" t="s">
        <v>57</v>
      </c>
      <c r="K5" s="224"/>
      <c r="L5" s="225"/>
      <c r="M5" s="224"/>
      <c r="N5" s="225"/>
      <c r="O5" s="225"/>
      <c r="P5" s="225"/>
      <c r="Q5" s="224"/>
      <c r="R5" s="224"/>
      <c r="S5" s="224"/>
      <c r="T5" s="225"/>
      <c r="U5" s="224"/>
      <c r="V5" s="228"/>
    </row>
    <row r="6" spans="1:22" ht="18" customHeight="1">
      <c r="A6" s="220">
        <v>2001</v>
      </c>
      <c r="B6" s="31" t="s">
        <v>64</v>
      </c>
      <c r="C6" s="55"/>
      <c r="D6" s="55"/>
      <c r="E6" s="55">
        <v>463388</v>
      </c>
      <c r="F6" s="55">
        <v>343</v>
      </c>
      <c r="G6" s="55"/>
      <c r="H6" s="55">
        <v>1399155</v>
      </c>
      <c r="I6" s="55"/>
      <c r="J6" s="55">
        <v>7336</v>
      </c>
      <c r="K6" s="55">
        <v>86396</v>
      </c>
      <c r="L6" s="55">
        <v>905502</v>
      </c>
      <c r="M6" s="55">
        <v>35023</v>
      </c>
      <c r="N6" s="55"/>
      <c r="O6" s="55">
        <v>904</v>
      </c>
      <c r="P6" s="55">
        <v>75268</v>
      </c>
      <c r="Q6" s="55">
        <f>SUM(C6:P6)</f>
        <v>2973315</v>
      </c>
      <c r="R6" s="55">
        <v>523232</v>
      </c>
      <c r="S6" s="55"/>
      <c r="T6" s="55"/>
      <c r="U6" s="55">
        <f>SUM(R6:S6)</f>
        <v>523232</v>
      </c>
      <c r="V6" s="55">
        <f>Q6+U6</f>
        <v>3496547</v>
      </c>
    </row>
    <row r="7" spans="1:22" ht="28.5">
      <c r="A7" s="218"/>
      <c r="B7" s="3" t="s">
        <v>65</v>
      </c>
      <c r="C7" s="55">
        <f>26314-3523</f>
        <v>22791</v>
      </c>
      <c r="D7" s="55">
        <v>23156</v>
      </c>
      <c r="E7" s="51"/>
      <c r="F7" s="52"/>
      <c r="G7" s="55">
        <v>15054</v>
      </c>
      <c r="H7" s="55">
        <v>31030</v>
      </c>
      <c r="I7" s="49"/>
      <c r="J7" s="49">
        <v>742</v>
      </c>
      <c r="K7" s="49">
        <v>460</v>
      </c>
      <c r="L7" s="49">
        <v>11319</v>
      </c>
      <c r="M7" s="51"/>
      <c r="N7" s="49">
        <v>3523</v>
      </c>
      <c r="O7" s="51"/>
      <c r="P7" s="49">
        <v>3343</v>
      </c>
      <c r="Q7" s="49">
        <f t="shared" ref="Q7:Q40" si="0">SUM(C7:P7)</f>
        <v>111418</v>
      </c>
      <c r="R7" s="50">
        <v>22857</v>
      </c>
      <c r="S7" s="50"/>
      <c r="T7" s="50"/>
      <c r="U7" s="55">
        <f t="shared" ref="U7:U40" si="1">SUM(R7:S7)</f>
        <v>22857</v>
      </c>
      <c r="V7" s="55">
        <f t="shared" ref="V7:V40" si="2">Q7+U7</f>
        <v>134275</v>
      </c>
    </row>
    <row r="8" spans="1:22">
      <c r="A8" s="219"/>
      <c r="B8" s="32" t="s">
        <v>66</v>
      </c>
      <c r="C8" s="56">
        <f>SUM(C6:C7)</f>
        <v>22791</v>
      </c>
      <c r="D8" s="56">
        <f t="shared" ref="D8:V8" si="3">SUM(D6:D7)</f>
        <v>23156</v>
      </c>
      <c r="E8" s="56">
        <f t="shared" si="3"/>
        <v>463388</v>
      </c>
      <c r="F8" s="56">
        <f t="shared" si="3"/>
        <v>343</v>
      </c>
      <c r="G8" s="56">
        <f t="shared" si="3"/>
        <v>15054</v>
      </c>
      <c r="H8" s="56">
        <f t="shared" si="3"/>
        <v>1430185</v>
      </c>
      <c r="I8" s="56">
        <f t="shared" si="3"/>
        <v>0</v>
      </c>
      <c r="J8" s="56">
        <f t="shared" si="3"/>
        <v>8078</v>
      </c>
      <c r="K8" s="56">
        <f t="shared" si="3"/>
        <v>86856</v>
      </c>
      <c r="L8" s="56">
        <f t="shared" si="3"/>
        <v>916821</v>
      </c>
      <c r="M8" s="56">
        <f t="shared" si="3"/>
        <v>35023</v>
      </c>
      <c r="N8" s="56">
        <f t="shared" si="3"/>
        <v>3523</v>
      </c>
      <c r="O8" s="56">
        <f t="shared" si="3"/>
        <v>904</v>
      </c>
      <c r="P8" s="56">
        <f t="shared" si="3"/>
        <v>78611</v>
      </c>
      <c r="Q8" s="56">
        <f t="shared" si="3"/>
        <v>3084733</v>
      </c>
      <c r="R8" s="56">
        <f t="shared" si="3"/>
        <v>546089</v>
      </c>
      <c r="S8" s="56">
        <f t="shared" si="3"/>
        <v>0</v>
      </c>
      <c r="T8" s="56"/>
      <c r="U8" s="56">
        <f t="shared" si="3"/>
        <v>546089</v>
      </c>
      <c r="V8" s="56">
        <f t="shared" si="3"/>
        <v>3630822</v>
      </c>
    </row>
    <row r="9" spans="1:22" ht="18" customHeight="1">
      <c r="A9" s="220">
        <v>2002</v>
      </c>
      <c r="B9" s="31" t="s">
        <v>64</v>
      </c>
      <c r="C9" s="55"/>
      <c r="D9" s="55"/>
      <c r="E9" s="55">
        <v>562624</v>
      </c>
      <c r="F9" s="55">
        <v>695</v>
      </c>
      <c r="G9" s="55"/>
      <c r="H9" s="55">
        <v>1421562</v>
      </c>
      <c r="I9" s="55"/>
      <c r="J9" s="55">
        <v>14304</v>
      </c>
      <c r="K9" s="55">
        <v>100654</v>
      </c>
      <c r="L9" s="55">
        <v>938356</v>
      </c>
      <c r="M9" s="55">
        <v>38601</v>
      </c>
      <c r="N9" s="55"/>
      <c r="O9" s="55">
        <v>2565</v>
      </c>
      <c r="P9" s="55">
        <v>53147</v>
      </c>
      <c r="Q9" s="55">
        <f t="shared" si="0"/>
        <v>3132508</v>
      </c>
      <c r="R9" s="55">
        <v>448833</v>
      </c>
      <c r="S9" s="55"/>
      <c r="T9" s="55"/>
      <c r="U9" s="55">
        <f t="shared" si="1"/>
        <v>448833</v>
      </c>
      <c r="V9" s="55">
        <f t="shared" si="2"/>
        <v>3581341</v>
      </c>
    </row>
    <row r="10" spans="1:22" ht="28.5">
      <c r="A10" s="218"/>
      <c r="B10" s="3" t="s">
        <v>65</v>
      </c>
      <c r="C10" s="55">
        <f>46250-14013</f>
        <v>32237</v>
      </c>
      <c r="D10" s="55">
        <f>29625</f>
        <v>29625</v>
      </c>
      <c r="E10" s="51"/>
      <c r="F10" s="52"/>
      <c r="G10" s="55">
        <v>15990</v>
      </c>
      <c r="H10" s="55">
        <v>30000</v>
      </c>
      <c r="I10" s="51"/>
      <c r="J10" s="49">
        <v>736</v>
      </c>
      <c r="K10" s="51">
        <v>263</v>
      </c>
      <c r="L10" s="49">
        <v>6644</v>
      </c>
      <c r="M10" s="51"/>
      <c r="N10" s="49">
        <v>14013</v>
      </c>
      <c r="O10" s="51"/>
      <c r="P10" s="49">
        <v>2897</v>
      </c>
      <c r="Q10" s="55">
        <f t="shared" si="0"/>
        <v>132405</v>
      </c>
      <c r="R10" s="50">
        <v>68751</v>
      </c>
      <c r="S10" s="50"/>
      <c r="T10" s="50"/>
      <c r="U10" s="55">
        <f t="shared" si="1"/>
        <v>68751</v>
      </c>
      <c r="V10" s="55">
        <f t="shared" si="2"/>
        <v>201156</v>
      </c>
    </row>
    <row r="11" spans="1:22">
      <c r="A11" s="219"/>
      <c r="B11" s="32" t="s">
        <v>66</v>
      </c>
      <c r="C11" s="56">
        <f>SUM(C9:C10)</f>
        <v>32237</v>
      </c>
      <c r="D11" s="56">
        <f t="shared" ref="D11:V11" si="4">SUM(D9:D10)</f>
        <v>29625</v>
      </c>
      <c r="E11" s="56">
        <f t="shared" si="4"/>
        <v>562624</v>
      </c>
      <c r="F11" s="56">
        <f t="shared" si="4"/>
        <v>695</v>
      </c>
      <c r="G11" s="56">
        <f t="shared" si="4"/>
        <v>15990</v>
      </c>
      <c r="H11" s="56">
        <f t="shared" si="4"/>
        <v>1451562</v>
      </c>
      <c r="I11" s="56">
        <f t="shared" si="4"/>
        <v>0</v>
      </c>
      <c r="J11" s="56">
        <f t="shared" si="4"/>
        <v>15040</v>
      </c>
      <c r="K11" s="56">
        <f t="shared" si="4"/>
        <v>100917</v>
      </c>
      <c r="L11" s="56">
        <f t="shared" si="4"/>
        <v>945000</v>
      </c>
      <c r="M11" s="56">
        <f t="shared" si="4"/>
        <v>38601</v>
      </c>
      <c r="N11" s="56">
        <f t="shared" si="4"/>
        <v>14013</v>
      </c>
      <c r="O11" s="56">
        <f t="shared" si="4"/>
        <v>2565</v>
      </c>
      <c r="P11" s="56">
        <f t="shared" si="4"/>
        <v>56044</v>
      </c>
      <c r="Q11" s="56">
        <f t="shared" si="4"/>
        <v>3264913</v>
      </c>
      <c r="R11" s="56">
        <f t="shared" si="4"/>
        <v>517584</v>
      </c>
      <c r="S11" s="56">
        <f t="shared" si="4"/>
        <v>0</v>
      </c>
      <c r="T11" s="56"/>
      <c r="U11" s="56">
        <f t="shared" si="4"/>
        <v>517584</v>
      </c>
      <c r="V11" s="56">
        <f t="shared" si="4"/>
        <v>3782497</v>
      </c>
    </row>
    <row r="12" spans="1:22" ht="18" customHeight="1">
      <c r="A12" s="220">
        <v>2003</v>
      </c>
      <c r="B12" s="31" t="s">
        <v>64</v>
      </c>
      <c r="C12" s="55"/>
      <c r="D12" s="55"/>
      <c r="E12" s="55">
        <v>599713</v>
      </c>
      <c r="F12" s="55">
        <v>1300</v>
      </c>
      <c r="G12" s="55"/>
      <c r="H12" s="55">
        <v>1403219</v>
      </c>
      <c r="I12" s="55"/>
      <c r="J12" s="55">
        <v>33328</v>
      </c>
      <c r="K12" s="55">
        <v>47777</v>
      </c>
      <c r="L12" s="55">
        <v>1112729</v>
      </c>
      <c r="M12" s="55">
        <v>48300</v>
      </c>
      <c r="N12" s="55">
        <v>38685</v>
      </c>
      <c r="O12" s="55">
        <v>30974</v>
      </c>
      <c r="P12" s="55">
        <v>37016</v>
      </c>
      <c r="Q12" s="55">
        <f t="shared" si="0"/>
        <v>3353041</v>
      </c>
      <c r="R12" s="55">
        <v>518559</v>
      </c>
      <c r="S12" s="55"/>
      <c r="T12" s="55"/>
      <c r="U12" s="55">
        <f t="shared" si="1"/>
        <v>518559</v>
      </c>
      <c r="V12" s="55">
        <f t="shared" si="2"/>
        <v>3871600</v>
      </c>
    </row>
    <row r="13" spans="1:22" ht="28.5">
      <c r="A13" s="218"/>
      <c r="B13" s="3" t="s">
        <v>65</v>
      </c>
      <c r="C13" s="55">
        <f>33263-9681</f>
        <v>23582</v>
      </c>
      <c r="D13" s="55">
        <v>31387</v>
      </c>
      <c r="E13" s="51"/>
      <c r="F13" s="52"/>
      <c r="G13" s="55">
        <v>22326</v>
      </c>
      <c r="H13" s="55">
        <v>30000</v>
      </c>
      <c r="I13" s="49"/>
      <c r="J13" s="55">
        <v>662</v>
      </c>
      <c r="K13" s="55">
        <v>734</v>
      </c>
      <c r="L13" s="55">
        <v>6518</v>
      </c>
      <c r="M13" s="51"/>
      <c r="N13" s="55">
        <v>9681</v>
      </c>
      <c r="O13" s="51"/>
      <c r="P13" s="55">
        <v>2594</v>
      </c>
      <c r="Q13" s="55">
        <f t="shared" si="0"/>
        <v>127484</v>
      </c>
      <c r="R13" s="55">
        <v>62411</v>
      </c>
      <c r="S13" s="50"/>
      <c r="T13" s="50"/>
      <c r="U13" s="55">
        <f t="shared" si="1"/>
        <v>62411</v>
      </c>
      <c r="V13" s="55">
        <f t="shared" si="2"/>
        <v>189895</v>
      </c>
    </row>
    <row r="14" spans="1:22">
      <c r="A14" s="219"/>
      <c r="B14" s="32" t="s">
        <v>66</v>
      </c>
      <c r="C14" s="56">
        <f>SUM(C12:C13)</f>
        <v>23582</v>
      </c>
      <c r="D14" s="56">
        <f t="shared" ref="D14:V14" si="5">SUM(D12:D13)</f>
        <v>31387</v>
      </c>
      <c r="E14" s="56">
        <f t="shared" si="5"/>
        <v>599713</v>
      </c>
      <c r="F14" s="56">
        <f t="shared" si="5"/>
        <v>1300</v>
      </c>
      <c r="G14" s="56">
        <f t="shared" si="5"/>
        <v>22326</v>
      </c>
      <c r="H14" s="56">
        <f t="shared" si="5"/>
        <v>1433219</v>
      </c>
      <c r="I14" s="56">
        <f t="shared" si="5"/>
        <v>0</v>
      </c>
      <c r="J14" s="56">
        <f t="shared" si="5"/>
        <v>33990</v>
      </c>
      <c r="K14" s="56">
        <f t="shared" si="5"/>
        <v>48511</v>
      </c>
      <c r="L14" s="56">
        <f t="shared" si="5"/>
        <v>1119247</v>
      </c>
      <c r="M14" s="56">
        <f t="shared" si="5"/>
        <v>48300</v>
      </c>
      <c r="N14" s="56">
        <f t="shared" si="5"/>
        <v>48366</v>
      </c>
      <c r="O14" s="56">
        <f t="shared" si="5"/>
        <v>30974</v>
      </c>
      <c r="P14" s="56">
        <f t="shared" si="5"/>
        <v>39610</v>
      </c>
      <c r="Q14" s="56">
        <f t="shared" si="5"/>
        <v>3480525</v>
      </c>
      <c r="R14" s="56">
        <f t="shared" si="5"/>
        <v>580970</v>
      </c>
      <c r="S14" s="56">
        <f t="shared" si="5"/>
        <v>0</v>
      </c>
      <c r="T14" s="56"/>
      <c r="U14" s="56">
        <f t="shared" si="5"/>
        <v>580970</v>
      </c>
      <c r="V14" s="56">
        <f t="shared" si="5"/>
        <v>4061495</v>
      </c>
    </row>
    <row r="15" spans="1:22" ht="18" customHeight="1">
      <c r="A15" s="220">
        <v>2004</v>
      </c>
      <c r="B15" s="31" t="s">
        <v>64</v>
      </c>
      <c r="C15" s="55"/>
      <c r="D15" s="55"/>
      <c r="E15" s="55">
        <v>663930</v>
      </c>
      <c r="F15" s="55">
        <v>2327</v>
      </c>
      <c r="G15" s="55"/>
      <c r="H15" s="55">
        <v>1359287</v>
      </c>
      <c r="I15" s="55"/>
      <c r="J15" s="55">
        <v>35810</v>
      </c>
      <c r="K15" s="55">
        <v>65845</v>
      </c>
      <c r="L15" s="55">
        <v>1118918</v>
      </c>
      <c r="M15" s="55">
        <v>40635</v>
      </c>
      <c r="N15" s="55">
        <v>46495</v>
      </c>
      <c r="O15" s="55">
        <v>4036</v>
      </c>
      <c r="P15" s="55">
        <v>38017</v>
      </c>
      <c r="Q15" s="55">
        <f t="shared" si="0"/>
        <v>3375300</v>
      </c>
      <c r="R15" s="55">
        <v>331090</v>
      </c>
      <c r="S15" s="55"/>
      <c r="T15" s="55"/>
      <c r="U15" s="55">
        <f t="shared" si="1"/>
        <v>331090</v>
      </c>
      <c r="V15" s="55">
        <f t="shared" si="2"/>
        <v>3706390</v>
      </c>
    </row>
    <row r="16" spans="1:22" ht="28.5">
      <c r="A16" s="218"/>
      <c r="B16" s="3" t="s">
        <v>65</v>
      </c>
      <c r="C16" s="55">
        <v>23233</v>
      </c>
      <c r="D16" s="55">
        <v>32149</v>
      </c>
      <c r="E16" s="51"/>
      <c r="F16" s="52"/>
      <c r="G16" s="55">
        <v>28407</v>
      </c>
      <c r="H16" s="55">
        <v>30000</v>
      </c>
      <c r="I16" s="49"/>
      <c r="J16" s="49">
        <v>6464</v>
      </c>
      <c r="K16" s="55">
        <f>693+625</f>
        <v>1318</v>
      </c>
      <c r="L16" s="51"/>
      <c r="M16" s="51"/>
      <c r="N16" s="55">
        <v>3373</v>
      </c>
      <c r="O16" s="51"/>
      <c r="P16" s="55">
        <v>1598</v>
      </c>
      <c r="Q16" s="55">
        <f t="shared" si="0"/>
        <v>126542</v>
      </c>
      <c r="R16" s="50">
        <v>72910</v>
      </c>
      <c r="S16" s="50"/>
      <c r="T16" s="50"/>
      <c r="U16" s="55">
        <f t="shared" si="1"/>
        <v>72910</v>
      </c>
      <c r="V16" s="55">
        <f t="shared" si="2"/>
        <v>199452</v>
      </c>
    </row>
    <row r="17" spans="1:22">
      <c r="A17" s="219"/>
      <c r="B17" s="32" t="s">
        <v>66</v>
      </c>
      <c r="C17" s="56">
        <f>SUM(C15:C16)</f>
        <v>23233</v>
      </c>
      <c r="D17" s="56">
        <f t="shared" ref="D17:V17" si="6">SUM(D15:D16)</f>
        <v>32149</v>
      </c>
      <c r="E17" s="56">
        <f t="shared" si="6"/>
        <v>663930</v>
      </c>
      <c r="F17" s="56">
        <f t="shared" si="6"/>
        <v>2327</v>
      </c>
      <c r="G17" s="56">
        <f t="shared" si="6"/>
        <v>28407</v>
      </c>
      <c r="H17" s="56">
        <f t="shared" si="6"/>
        <v>1389287</v>
      </c>
      <c r="I17" s="56">
        <f t="shared" si="6"/>
        <v>0</v>
      </c>
      <c r="J17" s="56">
        <f t="shared" si="6"/>
        <v>42274</v>
      </c>
      <c r="K17" s="56">
        <f t="shared" si="6"/>
        <v>67163</v>
      </c>
      <c r="L17" s="56">
        <f t="shared" si="6"/>
        <v>1118918</v>
      </c>
      <c r="M17" s="56">
        <f t="shared" si="6"/>
        <v>40635</v>
      </c>
      <c r="N17" s="56">
        <f t="shared" si="6"/>
        <v>49868</v>
      </c>
      <c r="O17" s="56">
        <f t="shared" si="6"/>
        <v>4036</v>
      </c>
      <c r="P17" s="56">
        <f t="shared" si="6"/>
        <v>39615</v>
      </c>
      <c r="Q17" s="56">
        <f t="shared" si="6"/>
        <v>3501842</v>
      </c>
      <c r="R17" s="56">
        <f t="shared" si="6"/>
        <v>404000</v>
      </c>
      <c r="S17" s="56">
        <f t="shared" si="6"/>
        <v>0</v>
      </c>
      <c r="T17" s="56"/>
      <c r="U17" s="56">
        <f t="shared" si="6"/>
        <v>404000</v>
      </c>
      <c r="V17" s="56">
        <f t="shared" si="6"/>
        <v>3905842</v>
      </c>
    </row>
    <row r="18" spans="1:22" ht="18" customHeight="1">
      <c r="A18" s="220">
        <v>2005</v>
      </c>
      <c r="B18" s="31" t="s">
        <v>64</v>
      </c>
      <c r="C18" s="55"/>
      <c r="D18" s="55"/>
      <c r="E18" s="55">
        <v>696498</v>
      </c>
      <c r="F18" s="55">
        <v>3571</v>
      </c>
      <c r="G18" s="55"/>
      <c r="H18" s="55">
        <v>1403929</v>
      </c>
      <c r="I18" s="55"/>
      <c r="J18" s="55">
        <v>51515</v>
      </c>
      <c r="K18" s="55">
        <v>74550</v>
      </c>
      <c r="L18" s="55">
        <v>1035838</v>
      </c>
      <c r="M18" s="55">
        <v>55781</v>
      </c>
      <c r="N18" s="55">
        <v>49051</v>
      </c>
      <c r="O18" s="55">
        <v>12809</v>
      </c>
      <c r="P18" s="55">
        <v>32657</v>
      </c>
      <c r="Q18" s="55">
        <f t="shared" si="0"/>
        <v>3416199</v>
      </c>
      <c r="R18" s="55">
        <v>377835</v>
      </c>
      <c r="S18" s="55"/>
      <c r="T18" s="55"/>
      <c r="U18" s="55">
        <f t="shared" si="1"/>
        <v>377835</v>
      </c>
      <c r="V18" s="55">
        <f t="shared" si="2"/>
        <v>3794034</v>
      </c>
    </row>
    <row r="19" spans="1:22" ht="28.5">
      <c r="A19" s="218"/>
      <c r="B19" s="3" t="s">
        <v>65</v>
      </c>
      <c r="C19" s="55">
        <v>28365</v>
      </c>
      <c r="D19" s="55">
        <v>37000</v>
      </c>
      <c r="E19" s="51"/>
      <c r="F19" s="52"/>
      <c r="G19" s="55">
        <v>28041</v>
      </c>
      <c r="H19" s="55">
        <v>30000</v>
      </c>
      <c r="I19" s="49"/>
      <c r="J19" s="49">
        <v>11004</v>
      </c>
      <c r="K19" s="49">
        <v>1996</v>
      </c>
      <c r="L19" s="49"/>
      <c r="M19" s="49"/>
      <c r="N19" s="49"/>
      <c r="O19" s="49"/>
      <c r="P19" s="49">
        <v>1866</v>
      </c>
      <c r="Q19" s="55">
        <f t="shared" si="0"/>
        <v>138272</v>
      </c>
      <c r="R19" s="50">
        <v>33125</v>
      </c>
      <c r="S19" s="50"/>
      <c r="T19" s="50"/>
      <c r="U19" s="55">
        <f t="shared" si="1"/>
        <v>33125</v>
      </c>
      <c r="V19" s="55">
        <f t="shared" si="2"/>
        <v>171397</v>
      </c>
    </row>
    <row r="20" spans="1:22">
      <c r="A20" s="219"/>
      <c r="B20" s="32" t="s">
        <v>66</v>
      </c>
      <c r="C20" s="56">
        <f>SUM(C18:C19)</f>
        <v>28365</v>
      </c>
      <c r="D20" s="56">
        <f t="shared" ref="D20:V20" si="7">SUM(D18:D19)</f>
        <v>37000</v>
      </c>
      <c r="E20" s="56">
        <f t="shared" si="7"/>
        <v>696498</v>
      </c>
      <c r="F20" s="56">
        <f t="shared" si="7"/>
        <v>3571</v>
      </c>
      <c r="G20" s="56">
        <f t="shared" si="7"/>
        <v>28041</v>
      </c>
      <c r="H20" s="56">
        <f t="shared" si="7"/>
        <v>1433929</v>
      </c>
      <c r="I20" s="56">
        <f t="shared" si="7"/>
        <v>0</v>
      </c>
      <c r="J20" s="56">
        <f t="shared" si="7"/>
        <v>62519</v>
      </c>
      <c r="K20" s="56">
        <f t="shared" si="7"/>
        <v>76546</v>
      </c>
      <c r="L20" s="56">
        <f t="shared" si="7"/>
        <v>1035838</v>
      </c>
      <c r="M20" s="56">
        <f t="shared" si="7"/>
        <v>55781</v>
      </c>
      <c r="N20" s="56">
        <f t="shared" si="7"/>
        <v>49051</v>
      </c>
      <c r="O20" s="56">
        <f t="shared" si="7"/>
        <v>12809</v>
      </c>
      <c r="P20" s="56">
        <f t="shared" si="7"/>
        <v>34523</v>
      </c>
      <c r="Q20" s="56">
        <f t="shared" si="7"/>
        <v>3554471</v>
      </c>
      <c r="R20" s="56">
        <f t="shared" si="7"/>
        <v>410960</v>
      </c>
      <c r="S20" s="56">
        <f t="shared" si="7"/>
        <v>0</v>
      </c>
      <c r="T20" s="56"/>
      <c r="U20" s="56">
        <f t="shared" si="7"/>
        <v>410960</v>
      </c>
      <c r="V20" s="56">
        <f t="shared" si="7"/>
        <v>3965431</v>
      </c>
    </row>
    <row r="21" spans="1:22" ht="18" customHeight="1">
      <c r="A21" s="220">
        <v>2006</v>
      </c>
      <c r="B21" s="31" t="s">
        <v>64</v>
      </c>
      <c r="C21" s="55"/>
      <c r="D21" s="55"/>
      <c r="E21" s="55">
        <v>717944</v>
      </c>
      <c r="F21" s="55">
        <v>4256</v>
      </c>
      <c r="G21" s="55"/>
      <c r="H21" s="55">
        <v>1434894</v>
      </c>
      <c r="I21" s="55">
        <v>220000</v>
      </c>
      <c r="J21" s="55">
        <v>69851</v>
      </c>
      <c r="K21" s="55">
        <v>56524</v>
      </c>
      <c r="L21" s="55">
        <v>1132969</v>
      </c>
      <c r="M21" s="55">
        <v>63592</v>
      </c>
      <c r="N21" s="55">
        <v>66227</v>
      </c>
      <c r="O21" s="55">
        <v>10849</v>
      </c>
      <c r="P21" s="55">
        <v>45194</v>
      </c>
      <c r="Q21" s="55">
        <f>SUM(C21:P21)</f>
        <v>3822300</v>
      </c>
      <c r="R21" s="55">
        <v>283800</v>
      </c>
      <c r="S21" s="55">
        <v>120000</v>
      </c>
      <c r="T21" s="55"/>
      <c r="U21" s="55">
        <f t="shared" si="1"/>
        <v>403800</v>
      </c>
      <c r="V21" s="55">
        <f t="shared" si="2"/>
        <v>4226100</v>
      </c>
    </row>
    <row r="22" spans="1:22" ht="28.5">
      <c r="A22" s="218"/>
      <c r="B22" s="3" t="s">
        <v>65</v>
      </c>
      <c r="C22" s="55">
        <v>29143</v>
      </c>
      <c r="D22" s="55">
        <v>39257</v>
      </c>
      <c r="E22" s="51"/>
      <c r="F22" s="53"/>
      <c r="G22" s="55">
        <v>26155</v>
      </c>
      <c r="H22" s="55">
        <v>31000</v>
      </c>
      <c r="I22" s="49"/>
      <c r="J22" s="49">
        <v>29752</v>
      </c>
      <c r="K22" s="49">
        <v>1427</v>
      </c>
      <c r="L22" s="51"/>
      <c r="M22" s="51"/>
      <c r="N22" s="55">
        <v>7685</v>
      </c>
      <c r="O22" s="51"/>
      <c r="P22" s="55">
        <v>1997</v>
      </c>
      <c r="Q22" s="55">
        <f t="shared" si="0"/>
        <v>166416</v>
      </c>
      <c r="R22" s="55"/>
      <c r="S22" s="55"/>
      <c r="T22" s="55"/>
      <c r="U22" s="55">
        <f t="shared" si="1"/>
        <v>0</v>
      </c>
      <c r="V22" s="55">
        <f t="shared" si="2"/>
        <v>166416</v>
      </c>
    </row>
    <row r="23" spans="1:22">
      <c r="A23" s="219"/>
      <c r="B23" s="32" t="s">
        <v>66</v>
      </c>
      <c r="C23" s="56">
        <f>SUM(C21:C22)</f>
        <v>29143</v>
      </c>
      <c r="D23" s="56">
        <f t="shared" ref="D23:V23" si="8">SUM(D21:D22)</f>
        <v>39257</v>
      </c>
      <c r="E23" s="56">
        <f t="shared" si="8"/>
        <v>717944</v>
      </c>
      <c r="F23" s="56">
        <f t="shared" si="8"/>
        <v>4256</v>
      </c>
      <c r="G23" s="56">
        <f t="shared" si="8"/>
        <v>26155</v>
      </c>
      <c r="H23" s="56">
        <f t="shared" si="8"/>
        <v>1465894</v>
      </c>
      <c r="I23" s="56">
        <f t="shared" si="8"/>
        <v>220000</v>
      </c>
      <c r="J23" s="56">
        <f t="shared" si="8"/>
        <v>99603</v>
      </c>
      <c r="K23" s="56">
        <f t="shared" si="8"/>
        <v>57951</v>
      </c>
      <c r="L23" s="56">
        <f t="shared" si="8"/>
        <v>1132969</v>
      </c>
      <c r="M23" s="56">
        <f t="shared" si="8"/>
        <v>63592</v>
      </c>
      <c r="N23" s="56">
        <f t="shared" si="8"/>
        <v>73912</v>
      </c>
      <c r="O23" s="56">
        <f t="shared" si="8"/>
        <v>10849</v>
      </c>
      <c r="P23" s="56">
        <f t="shared" si="8"/>
        <v>47191</v>
      </c>
      <c r="Q23" s="56">
        <f t="shared" si="8"/>
        <v>3988716</v>
      </c>
      <c r="R23" s="56">
        <f t="shared" si="8"/>
        <v>283800</v>
      </c>
      <c r="S23" s="56">
        <f t="shared" si="8"/>
        <v>120000</v>
      </c>
      <c r="T23" s="56"/>
      <c r="U23" s="56">
        <f t="shared" si="8"/>
        <v>403800</v>
      </c>
      <c r="V23" s="56">
        <f t="shared" si="8"/>
        <v>4392516</v>
      </c>
    </row>
    <row r="24" spans="1:22" ht="18" customHeight="1">
      <c r="A24" s="220">
        <v>2007</v>
      </c>
      <c r="B24" s="31" t="s">
        <v>64</v>
      </c>
      <c r="C24" s="55"/>
      <c r="D24" s="55"/>
      <c r="E24" s="55">
        <v>740242</v>
      </c>
      <c r="F24" s="55">
        <v>4412</v>
      </c>
      <c r="G24" s="55"/>
      <c r="H24" s="55">
        <v>1450907</v>
      </c>
      <c r="I24" s="55">
        <v>240000</v>
      </c>
      <c r="J24" s="55">
        <v>79755</v>
      </c>
      <c r="K24" s="55">
        <v>49356</v>
      </c>
      <c r="L24" s="55">
        <v>1168825</v>
      </c>
      <c r="M24" s="55">
        <v>64907</v>
      </c>
      <c r="N24" s="55">
        <v>71668</v>
      </c>
      <c r="O24" s="55">
        <v>11506</v>
      </c>
      <c r="P24" s="55">
        <v>39809</v>
      </c>
      <c r="Q24" s="55">
        <f t="shared" si="0"/>
        <v>3921387</v>
      </c>
      <c r="R24" s="55">
        <v>234000</v>
      </c>
      <c r="S24" s="55">
        <v>156000</v>
      </c>
      <c r="T24" s="55"/>
      <c r="U24" s="55">
        <f t="shared" si="1"/>
        <v>390000</v>
      </c>
      <c r="V24" s="55">
        <f t="shared" si="2"/>
        <v>4311387</v>
      </c>
    </row>
    <row r="25" spans="1:22" ht="28.5">
      <c r="A25" s="218"/>
      <c r="B25" s="3" t="s">
        <v>65</v>
      </c>
      <c r="C25" s="55">
        <v>27752</v>
      </c>
      <c r="D25" s="55">
        <v>37209</v>
      </c>
      <c r="E25" s="51"/>
      <c r="F25" s="52"/>
      <c r="G25" s="55">
        <v>28456</v>
      </c>
      <c r="H25" s="55">
        <v>34000</v>
      </c>
      <c r="I25" s="51"/>
      <c r="J25" s="55">
        <v>2980</v>
      </c>
      <c r="K25" s="55">
        <f>647+149+528+1644</f>
        <v>2968</v>
      </c>
      <c r="L25" s="51"/>
      <c r="M25" s="51"/>
      <c r="N25" s="55">
        <v>8233</v>
      </c>
      <c r="O25" s="51"/>
      <c r="P25" s="55">
        <v>3999</v>
      </c>
      <c r="Q25" s="55">
        <f t="shared" si="0"/>
        <v>145597</v>
      </c>
      <c r="R25" s="55"/>
      <c r="S25" s="55"/>
      <c r="T25" s="55"/>
      <c r="U25" s="55">
        <f t="shared" si="1"/>
        <v>0</v>
      </c>
      <c r="V25" s="55">
        <f t="shared" si="2"/>
        <v>145597</v>
      </c>
    </row>
    <row r="26" spans="1:22">
      <c r="A26" s="219"/>
      <c r="B26" s="32" t="s">
        <v>66</v>
      </c>
      <c r="C26" s="56">
        <f>SUM(C24:C25)</f>
        <v>27752</v>
      </c>
      <c r="D26" s="56">
        <f t="shared" ref="D26:V26" si="9">SUM(D24:D25)</f>
        <v>37209</v>
      </c>
      <c r="E26" s="56">
        <f t="shared" si="9"/>
        <v>740242</v>
      </c>
      <c r="F26" s="56">
        <f t="shared" si="9"/>
        <v>4412</v>
      </c>
      <c r="G26" s="56">
        <f t="shared" si="9"/>
        <v>28456</v>
      </c>
      <c r="H26" s="56">
        <f t="shared" si="9"/>
        <v>1484907</v>
      </c>
      <c r="I26" s="56">
        <f t="shared" si="9"/>
        <v>240000</v>
      </c>
      <c r="J26" s="56">
        <f t="shared" si="9"/>
        <v>82735</v>
      </c>
      <c r="K26" s="56">
        <f t="shared" si="9"/>
        <v>52324</v>
      </c>
      <c r="L26" s="56">
        <f t="shared" si="9"/>
        <v>1168825</v>
      </c>
      <c r="M26" s="56">
        <f t="shared" si="9"/>
        <v>64907</v>
      </c>
      <c r="N26" s="56">
        <f t="shared" si="9"/>
        <v>79901</v>
      </c>
      <c r="O26" s="56">
        <f t="shared" si="9"/>
        <v>11506</v>
      </c>
      <c r="P26" s="56">
        <f t="shared" si="9"/>
        <v>43808</v>
      </c>
      <c r="Q26" s="56">
        <f t="shared" si="9"/>
        <v>4066984</v>
      </c>
      <c r="R26" s="56">
        <f t="shared" si="9"/>
        <v>234000</v>
      </c>
      <c r="S26" s="56">
        <f t="shared" si="9"/>
        <v>156000</v>
      </c>
      <c r="T26" s="56"/>
      <c r="U26" s="56">
        <f t="shared" si="9"/>
        <v>390000</v>
      </c>
      <c r="V26" s="56">
        <f t="shared" si="9"/>
        <v>4456984</v>
      </c>
    </row>
    <row r="27" spans="1:22" ht="18" customHeight="1">
      <c r="A27" s="220">
        <v>2008</v>
      </c>
      <c r="B27" s="31" t="s">
        <v>64</v>
      </c>
      <c r="C27" s="55"/>
      <c r="D27" s="55"/>
      <c r="E27" s="55">
        <v>751403</v>
      </c>
      <c r="F27" s="55">
        <v>5749</v>
      </c>
      <c r="G27" s="55"/>
      <c r="H27" s="55">
        <v>1453791</v>
      </c>
      <c r="I27" s="55">
        <v>225000</v>
      </c>
      <c r="J27" s="55">
        <v>72714</v>
      </c>
      <c r="K27" s="55">
        <v>57787</v>
      </c>
      <c r="L27" s="55">
        <v>1277842</v>
      </c>
      <c r="M27" s="55">
        <v>77126</v>
      </c>
      <c r="N27" s="55">
        <v>72250</v>
      </c>
      <c r="O27" s="55">
        <v>11827</v>
      </c>
      <c r="P27" s="55">
        <v>53435</v>
      </c>
      <c r="Q27" s="55">
        <f t="shared" si="0"/>
        <v>4058924</v>
      </c>
      <c r="R27" s="55">
        <v>199833</v>
      </c>
      <c r="S27" s="55">
        <v>199000</v>
      </c>
      <c r="T27" s="55"/>
      <c r="U27" s="55">
        <f t="shared" si="1"/>
        <v>398833</v>
      </c>
      <c r="V27" s="55">
        <f t="shared" si="2"/>
        <v>4457757</v>
      </c>
    </row>
    <row r="28" spans="1:22" ht="28.5">
      <c r="A28" s="218"/>
      <c r="B28" s="3" t="s">
        <v>65</v>
      </c>
      <c r="C28" s="55">
        <v>27314</v>
      </c>
      <c r="D28" s="55">
        <v>36654</v>
      </c>
      <c r="E28" s="51"/>
      <c r="F28" s="52"/>
      <c r="G28" s="55">
        <v>30030</v>
      </c>
      <c r="H28" s="55">
        <v>37500</v>
      </c>
      <c r="I28" s="49"/>
      <c r="J28" s="49">
        <v>5700</v>
      </c>
      <c r="K28" s="49">
        <v>3009</v>
      </c>
      <c r="L28" s="51"/>
      <c r="M28" s="51"/>
      <c r="N28" s="51">
        <v>8730</v>
      </c>
      <c r="O28" s="51"/>
      <c r="P28" s="51">
        <v>2948</v>
      </c>
      <c r="Q28" s="55">
        <f t="shared" si="0"/>
        <v>151885</v>
      </c>
      <c r="R28" s="55"/>
      <c r="S28" s="55"/>
      <c r="T28" s="55"/>
      <c r="U28" s="55">
        <f t="shared" si="1"/>
        <v>0</v>
      </c>
      <c r="V28" s="55">
        <f t="shared" si="2"/>
        <v>151885</v>
      </c>
    </row>
    <row r="29" spans="1:22">
      <c r="A29" s="219"/>
      <c r="B29" s="32" t="s">
        <v>66</v>
      </c>
      <c r="C29" s="56">
        <f>SUM(C27:C28)</f>
        <v>27314</v>
      </c>
      <c r="D29" s="56">
        <f t="shared" ref="D29:V29" si="10">SUM(D27:D28)</f>
        <v>36654</v>
      </c>
      <c r="E29" s="56">
        <f t="shared" si="10"/>
        <v>751403</v>
      </c>
      <c r="F29" s="56">
        <f t="shared" si="10"/>
        <v>5749</v>
      </c>
      <c r="G29" s="56">
        <f t="shared" si="10"/>
        <v>30030</v>
      </c>
      <c r="H29" s="56">
        <f t="shared" si="10"/>
        <v>1491291</v>
      </c>
      <c r="I29" s="56">
        <f t="shared" si="10"/>
        <v>225000</v>
      </c>
      <c r="J29" s="56">
        <f t="shared" si="10"/>
        <v>78414</v>
      </c>
      <c r="K29" s="56">
        <f t="shared" si="10"/>
        <v>60796</v>
      </c>
      <c r="L29" s="56">
        <f t="shared" si="10"/>
        <v>1277842</v>
      </c>
      <c r="M29" s="56">
        <f t="shared" si="10"/>
        <v>77126</v>
      </c>
      <c r="N29" s="56">
        <f t="shared" si="10"/>
        <v>80980</v>
      </c>
      <c r="O29" s="56">
        <f t="shared" si="10"/>
        <v>11827</v>
      </c>
      <c r="P29" s="56">
        <f t="shared" si="10"/>
        <v>56383</v>
      </c>
      <c r="Q29" s="56">
        <f t="shared" si="10"/>
        <v>4210809</v>
      </c>
      <c r="R29" s="56">
        <f t="shared" si="10"/>
        <v>199833</v>
      </c>
      <c r="S29" s="56">
        <f t="shared" si="10"/>
        <v>199000</v>
      </c>
      <c r="T29" s="56"/>
      <c r="U29" s="56">
        <f t="shared" si="10"/>
        <v>398833</v>
      </c>
      <c r="V29" s="56">
        <f t="shared" si="10"/>
        <v>4609642</v>
      </c>
    </row>
    <row r="30" spans="1:22" ht="18" customHeight="1">
      <c r="A30" s="220">
        <v>2009</v>
      </c>
      <c r="B30" s="31" t="s">
        <v>64</v>
      </c>
      <c r="C30" s="55"/>
      <c r="D30" s="55"/>
      <c r="E30" s="55">
        <v>767482</v>
      </c>
      <c r="F30" s="55">
        <v>5763</v>
      </c>
      <c r="G30" s="55"/>
      <c r="H30" s="55">
        <v>1460208</v>
      </c>
      <c r="I30" s="55">
        <v>292500</v>
      </c>
      <c r="J30" s="55">
        <v>86019</v>
      </c>
      <c r="K30" s="55">
        <v>50516</v>
      </c>
      <c r="L30" s="55">
        <v>1382542</v>
      </c>
      <c r="M30" s="55">
        <v>67235</v>
      </c>
      <c r="N30" s="55">
        <v>74736</v>
      </c>
      <c r="O30" s="55">
        <v>18171</v>
      </c>
      <c r="P30" s="55">
        <v>34966</v>
      </c>
      <c r="Q30" s="55">
        <f t="shared" si="0"/>
        <v>4240138</v>
      </c>
      <c r="R30" s="55">
        <v>168416</v>
      </c>
      <c r="S30" s="55">
        <v>247500</v>
      </c>
      <c r="T30" s="55"/>
      <c r="U30" s="55">
        <f t="shared" si="1"/>
        <v>415916</v>
      </c>
      <c r="V30" s="55">
        <f t="shared" si="2"/>
        <v>4656054</v>
      </c>
    </row>
    <row r="31" spans="1:22" ht="28.5">
      <c r="A31" s="218"/>
      <c r="B31" s="3" t="s">
        <v>65</v>
      </c>
      <c r="C31" s="55">
        <v>35054</v>
      </c>
      <c r="D31" s="55">
        <v>42634</v>
      </c>
      <c r="E31" s="51"/>
      <c r="F31" s="52"/>
      <c r="G31" s="55">
        <v>38495</v>
      </c>
      <c r="H31" s="55">
        <v>43000</v>
      </c>
      <c r="I31" s="49"/>
      <c r="J31" s="55">
        <v>14789</v>
      </c>
      <c r="K31" s="55">
        <v>2225</v>
      </c>
      <c r="L31" s="55">
        <v>1126</v>
      </c>
      <c r="M31" s="51"/>
      <c r="N31" s="55">
        <v>20295</v>
      </c>
      <c r="O31" s="51"/>
      <c r="P31" s="55">
        <v>4244</v>
      </c>
      <c r="Q31" s="55">
        <f t="shared" si="0"/>
        <v>201862</v>
      </c>
      <c r="R31" s="55">
        <v>5000</v>
      </c>
      <c r="S31" s="55"/>
      <c r="T31" s="55"/>
      <c r="U31" s="55">
        <f t="shared" si="1"/>
        <v>5000</v>
      </c>
      <c r="V31" s="55">
        <f t="shared" si="2"/>
        <v>206862</v>
      </c>
    </row>
    <row r="32" spans="1:22">
      <c r="A32" s="219"/>
      <c r="B32" s="32" t="s">
        <v>66</v>
      </c>
      <c r="C32" s="56">
        <f>SUM(C30:C31)</f>
        <v>35054</v>
      </c>
      <c r="D32" s="56">
        <f t="shared" ref="D32:V32" si="11">SUM(D30:D31)</f>
        <v>42634</v>
      </c>
      <c r="E32" s="56">
        <f t="shared" si="11"/>
        <v>767482</v>
      </c>
      <c r="F32" s="56">
        <f t="shared" si="11"/>
        <v>5763</v>
      </c>
      <c r="G32" s="56">
        <f t="shared" si="11"/>
        <v>38495</v>
      </c>
      <c r="H32" s="56">
        <f t="shared" si="11"/>
        <v>1503208</v>
      </c>
      <c r="I32" s="56">
        <f t="shared" si="11"/>
        <v>292500</v>
      </c>
      <c r="J32" s="56">
        <f t="shared" si="11"/>
        <v>100808</v>
      </c>
      <c r="K32" s="56">
        <f t="shared" si="11"/>
        <v>52741</v>
      </c>
      <c r="L32" s="56">
        <f t="shared" si="11"/>
        <v>1383668</v>
      </c>
      <c r="M32" s="56">
        <f t="shared" si="11"/>
        <v>67235</v>
      </c>
      <c r="N32" s="56">
        <f t="shared" si="11"/>
        <v>95031</v>
      </c>
      <c r="O32" s="56">
        <f t="shared" si="11"/>
        <v>18171</v>
      </c>
      <c r="P32" s="56">
        <f t="shared" si="11"/>
        <v>39210</v>
      </c>
      <c r="Q32" s="56">
        <f t="shared" si="11"/>
        <v>4442000</v>
      </c>
      <c r="R32" s="56">
        <f t="shared" si="11"/>
        <v>173416</v>
      </c>
      <c r="S32" s="56">
        <f t="shared" si="11"/>
        <v>247500</v>
      </c>
      <c r="T32" s="56"/>
      <c r="U32" s="56">
        <f t="shared" si="11"/>
        <v>420916</v>
      </c>
      <c r="V32" s="56">
        <f t="shared" si="11"/>
        <v>4862916</v>
      </c>
    </row>
    <row r="33" spans="1:22" ht="18" customHeight="1">
      <c r="A33" s="220">
        <v>2010</v>
      </c>
      <c r="B33" s="31" t="s">
        <v>64</v>
      </c>
      <c r="C33" s="55"/>
      <c r="D33" s="55"/>
      <c r="E33" s="55">
        <v>784692</v>
      </c>
      <c r="F33" s="55">
        <v>10759</v>
      </c>
      <c r="G33" s="55"/>
      <c r="H33" s="55">
        <v>1535901</v>
      </c>
      <c r="I33" s="55">
        <v>190000</v>
      </c>
      <c r="J33" s="55">
        <v>124825</v>
      </c>
      <c r="K33" s="55">
        <v>68264</v>
      </c>
      <c r="L33" s="55">
        <v>1525415</v>
      </c>
      <c r="M33" s="55">
        <v>60669</v>
      </c>
      <c r="N33" s="55">
        <v>87210</v>
      </c>
      <c r="O33" s="55">
        <v>23973</v>
      </c>
      <c r="P33" s="55">
        <v>26782</v>
      </c>
      <c r="Q33" s="55">
        <f t="shared" si="0"/>
        <v>4438490</v>
      </c>
      <c r="R33" s="55">
        <v>99433</v>
      </c>
      <c r="S33" s="55">
        <v>147500</v>
      </c>
      <c r="T33" s="55"/>
      <c r="U33" s="55">
        <f t="shared" si="1"/>
        <v>246933</v>
      </c>
      <c r="V33" s="55">
        <f t="shared" si="2"/>
        <v>4685423</v>
      </c>
    </row>
    <row r="34" spans="1:22" ht="28.5">
      <c r="A34" s="218"/>
      <c r="B34" s="3" t="s">
        <v>65</v>
      </c>
      <c r="C34" s="55">
        <v>40864</v>
      </c>
      <c r="D34" s="55">
        <v>44458</v>
      </c>
      <c r="E34" s="51"/>
      <c r="F34" s="52"/>
      <c r="G34" s="55">
        <v>46865</v>
      </c>
      <c r="H34" s="55">
        <v>44770</v>
      </c>
      <c r="I34" s="49"/>
      <c r="J34" s="55">
        <v>13596</v>
      </c>
      <c r="K34" s="55">
        <v>3474</v>
      </c>
      <c r="L34" s="55">
        <v>1238</v>
      </c>
      <c r="M34" s="51"/>
      <c r="N34" s="55">
        <v>23688</v>
      </c>
      <c r="O34" s="51"/>
      <c r="P34" s="55">
        <v>2398</v>
      </c>
      <c r="Q34" s="55">
        <f t="shared" si="0"/>
        <v>221351</v>
      </c>
      <c r="R34" s="50">
        <v>8000</v>
      </c>
      <c r="S34" s="55"/>
      <c r="T34" s="55"/>
      <c r="U34" s="55">
        <f t="shared" si="1"/>
        <v>8000</v>
      </c>
      <c r="V34" s="55">
        <f t="shared" si="2"/>
        <v>229351</v>
      </c>
    </row>
    <row r="35" spans="1:22">
      <c r="A35" s="219"/>
      <c r="B35" s="32" t="s">
        <v>66</v>
      </c>
      <c r="C35" s="56">
        <f>SUM(C33:C34)</f>
        <v>40864</v>
      </c>
      <c r="D35" s="56">
        <f t="shared" ref="D35:I35" si="12">SUM(D33:D34)</f>
        <v>44458</v>
      </c>
      <c r="E35" s="56">
        <f t="shared" si="12"/>
        <v>784692</v>
      </c>
      <c r="F35" s="56">
        <f t="shared" si="12"/>
        <v>10759</v>
      </c>
      <c r="G35" s="56">
        <f t="shared" si="12"/>
        <v>46865</v>
      </c>
      <c r="H35" s="56">
        <f t="shared" si="12"/>
        <v>1580671</v>
      </c>
      <c r="I35" s="56">
        <f t="shared" si="12"/>
        <v>190000</v>
      </c>
      <c r="J35" s="56">
        <f>SUM(J33:J34)</f>
        <v>138421</v>
      </c>
      <c r="K35" s="56">
        <f t="shared" ref="K35:V35" si="13">SUM(K33:K34)</f>
        <v>71738</v>
      </c>
      <c r="L35" s="56">
        <f t="shared" si="13"/>
        <v>1526653</v>
      </c>
      <c r="M35" s="56">
        <f t="shared" si="13"/>
        <v>60669</v>
      </c>
      <c r="N35" s="56">
        <f t="shared" si="13"/>
        <v>110898</v>
      </c>
      <c r="O35" s="56">
        <f t="shared" si="13"/>
        <v>23973</v>
      </c>
      <c r="P35" s="56">
        <f t="shared" si="13"/>
        <v>29180</v>
      </c>
      <c r="Q35" s="56">
        <f t="shared" si="13"/>
        <v>4659841</v>
      </c>
      <c r="R35" s="56">
        <f t="shared" si="13"/>
        <v>107433</v>
      </c>
      <c r="S35" s="56">
        <f t="shared" si="13"/>
        <v>147500</v>
      </c>
      <c r="T35" s="56"/>
      <c r="U35" s="56">
        <f t="shared" si="13"/>
        <v>254933</v>
      </c>
      <c r="V35" s="56">
        <f t="shared" si="13"/>
        <v>4914774</v>
      </c>
    </row>
    <row r="36" spans="1:22" ht="18" customHeight="1">
      <c r="A36" s="220">
        <v>2011</v>
      </c>
      <c r="B36" s="31" t="s">
        <v>64</v>
      </c>
      <c r="C36" s="55"/>
      <c r="D36" s="55"/>
      <c r="E36" s="55">
        <v>797106</v>
      </c>
      <c r="F36" s="55">
        <v>8268</v>
      </c>
      <c r="G36" s="55"/>
      <c r="H36" s="55">
        <v>1544793</v>
      </c>
      <c r="I36" s="55">
        <v>160060</v>
      </c>
      <c r="J36" s="55">
        <v>65142</v>
      </c>
      <c r="K36" s="55">
        <v>54041</v>
      </c>
      <c r="L36" s="55">
        <v>1480451</v>
      </c>
      <c r="M36" s="55">
        <v>47389</v>
      </c>
      <c r="N36" s="55">
        <v>86963</v>
      </c>
      <c r="O36" s="55">
        <v>13701</v>
      </c>
      <c r="P36" s="55">
        <v>26946</v>
      </c>
      <c r="Q36" s="55">
        <f t="shared" si="0"/>
        <v>4284860</v>
      </c>
      <c r="R36" s="55">
        <v>84391</v>
      </c>
      <c r="S36" s="55">
        <v>64000</v>
      </c>
      <c r="T36" s="55"/>
      <c r="U36" s="55">
        <f t="shared" si="1"/>
        <v>148391</v>
      </c>
      <c r="V36" s="55">
        <f t="shared" si="2"/>
        <v>4433251</v>
      </c>
    </row>
    <row r="37" spans="1:22" ht="28.5">
      <c r="A37" s="218"/>
      <c r="B37" s="3" t="s">
        <v>65</v>
      </c>
      <c r="C37" s="55">
        <v>42573</v>
      </c>
      <c r="D37" s="55">
        <v>44765</v>
      </c>
      <c r="E37" s="51"/>
      <c r="F37" s="52"/>
      <c r="G37" s="55">
        <v>48619</v>
      </c>
      <c r="H37" s="55">
        <v>37070</v>
      </c>
      <c r="I37" s="49"/>
      <c r="J37" s="55">
        <v>10796</v>
      </c>
      <c r="K37" s="55">
        <v>2927</v>
      </c>
      <c r="L37" s="55">
        <v>3357</v>
      </c>
      <c r="M37" s="51"/>
      <c r="N37" s="55">
        <v>26742</v>
      </c>
      <c r="O37" s="51"/>
      <c r="P37" s="55">
        <v>2880</v>
      </c>
      <c r="Q37" s="55">
        <f t="shared" si="0"/>
        <v>219729</v>
      </c>
      <c r="R37" s="50">
        <v>8000</v>
      </c>
      <c r="S37" s="55"/>
      <c r="T37" s="55"/>
      <c r="U37" s="55">
        <f t="shared" si="1"/>
        <v>8000</v>
      </c>
      <c r="V37" s="55">
        <f t="shared" si="2"/>
        <v>227729</v>
      </c>
    </row>
    <row r="38" spans="1:22">
      <c r="A38" s="219"/>
      <c r="B38" s="32" t="s">
        <v>66</v>
      </c>
      <c r="C38" s="56">
        <f>SUM(C36:C37)</f>
        <v>42573</v>
      </c>
      <c r="D38" s="56">
        <f t="shared" ref="D38:V38" si="14">SUM(D36:D37)</f>
        <v>44765</v>
      </c>
      <c r="E38" s="56">
        <f t="shared" si="14"/>
        <v>797106</v>
      </c>
      <c r="F38" s="56">
        <f t="shared" si="14"/>
        <v>8268</v>
      </c>
      <c r="G38" s="56">
        <f t="shared" si="14"/>
        <v>48619</v>
      </c>
      <c r="H38" s="56">
        <f t="shared" si="14"/>
        <v>1581863</v>
      </c>
      <c r="I38" s="56">
        <f t="shared" si="14"/>
        <v>160060</v>
      </c>
      <c r="J38" s="56">
        <f t="shared" si="14"/>
        <v>75938</v>
      </c>
      <c r="K38" s="56">
        <f t="shared" si="14"/>
        <v>56968</v>
      </c>
      <c r="L38" s="56">
        <f t="shared" si="14"/>
        <v>1483808</v>
      </c>
      <c r="M38" s="56">
        <f t="shared" si="14"/>
        <v>47389</v>
      </c>
      <c r="N38" s="56">
        <f t="shared" si="14"/>
        <v>113705</v>
      </c>
      <c r="O38" s="56">
        <f t="shared" si="14"/>
        <v>13701</v>
      </c>
      <c r="P38" s="56">
        <f t="shared" si="14"/>
        <v>29826</v>
      </c>
      <c r="Q38" s="56">
        <f t="shared" si="14"/>
        <v>4504589</v>
      </c>
      <c r="R38" s="56">
        <f t="shared" si="14"/>
        <v>92391</v>
      </c>
      <c r="S38" s="56">
        <f t="shared" si="14"/>
        <v>64000</v>
      </c>
      <c r="T38" s="56"/>
      <c r="U38" s="56">
        <f t="shared" si="14"/>
        <v>156391</v>
      </c>
      <c r="V38" s="56">
        <f t="shared" si="14"/>
        <v>4660980</v>
      </c>
    </row>
    <row r="39" spans="1:22" ht="18" customHeight="1">
      <c r="A39" s="220">
        <v>2012</v>
      </c>
      <c r="B39" s="31" t="s">
        <v>64</v>
      </c>
      <c r="C39" s="55"/>
      <c r="D39" s="55"/>
      <c r="E39" s="55">
        <v>788843</v>
      </c>
      <c r="F39" s="55">
        <v>4265</v>
      </c>
      <c r="G39" s="55"/>
      <c r="H39" s="55">
        <v>1559364</v>
      </c>
      <c r="I39" s="55">
        <v>307754</v>
      </c>
      <c r="J39" s="55">
        <v>79897</v>
      </c>
      <c r="K39" s="55">
        <v>53095</v>
      </c>
      <c r="L39" s="55">
        <v>1321327</v>
      </c>
      <c r="M39" s="55">
        <v>46188</v>
      </c>
      <c r="N39" s="55">
        <v>86529</v>
      </c>
      <c r="O39" s="55">
        <v>14078</v>
      </c>
      <c r="P39" s="55">
        <v>25127</v>
      </c>
      <c r="Q39" s="55">
        <f t="shared" si="0"/>
        <v>4286467</v>
      </c>
      <c r="R39" s="55">
        <v>77942</v>
      </c>
      <c r="S39" s="55">
        <v>102562</v>
      </c>
      <c r="T39" s="55"/>
      <c r="U39" s="55">
        <f t="shared" si="1"/>
        <v>180504</v>
      </c>
      <c r="V39" s="55">
        <f t="shared" si="2"/>
        <v>4466971</v>
      </c>
    </row>
    <row r="40" spans="1:22" ht="28.5">
      <c r="A40" s="218"/>
      <c r="B40" s="3" t="s">
        <v>65</v>
      </c>
      <c r="C40" s="55">
        <v>39052</v>
      </c>
      <c r="D40" s="55">
        <v>41585</v>
      </c>
      <c r="E40" s="51"/>
      <c r="F40" s="54"/>
      <c r="G40" s="55">
        <v>51408</v>
      </c>
      <c r="H40" s="55">
        <v>37070</v>
      </c>
      <c r="I40" s="49"/>
      <c r="J40" s="55">
        <v>5135</v>
      </c>
      <c r="K40" s="55">
        <v>16502</v>
      </c>
      <c r="L40" s="55">
        <v>5040</v>
      </c>
      <c r="M40" s="51"/>
      <c r="N40" s="55">
        <v>27114</v>
      </c>
      <c r="O40" s="51"/>
      <c r="P40" s="55">
        <v>2928</v>
      </c>
      <c r="Q40" s="55">
        <f t="shared" si="0"/>
        <v>225834</v>
      </c>
      <c r="R40" s="50">
        <v>8000</v>
      </c>
      <c r="S40" s="50"/>
      <c r="T40" s="50"/>
      <c r="U40" s="55">
        <f t="shared" si="1"/>
        <v>8000</v>
      </c>
      <c r="V40" s="55">
        <f t="shared" si="2"/>
        <v>233834</v>
      </c>
    </row>
    <row r="41" spans="1:22">
      <c r="A41" s="219"/>
      <c r="B41" s="32" t="s">
        <v>66</v>
      </c>
      <c r="C41" s="56">
        <f>SUM(C39:C40)</f>
        <v>39052</v>
      </c>
      <c r="D41" s="56">
        <f t="shared" ref="D41:V41" si="15">SUM(D39:D40)</f>
        <v>41585</v>
      </c>
      <c r="E41" s="56">
        <f t="shared" si="15"/>
        <v>788843</v>
      </c>
      <c r="F41" s="56">
        <f t="shared" si="15"/>
        <v>4265</v>
      </c>
      <c r="G41" s="56">
        <f t="shared" si="15"/>
        <v>51408</v>
      </c>
      <c r="H41" s="56">
        <f t="shared" si="15"/>
        <v>1596434</v>
      </c>
      <c r="I41" s="56">
        <f t="shared" si="15"/>
        <v>307754</v>
      </c>
      <c r="J41" s="56">
        <f t="shared" si="15"/>
        <v>85032</v>
      </c>
      <c r="K41" s="56">
        <f t="shared" si="15"/>
        <v>69597</v>
      </c>
      <c r="L41" s="56">
        <f t="shared" si="15"/>
        <v>1326367</v>
      </c>
      <c r="M41" s="56">
        <f t="shared" si="15"/>
        <v>46188</v>
      </c>
      <c r="N41" s="56">
        <f t="shared" si="15"/>
        <v>113643</v>
      </c>
      <c r="O41" s="56">
        <f t="shared" si="15"/>
        <v>14078</v>
      </c>
      <c r="P41" s="56">
        <f t="shared" si="15"/>
        <v>28055</v>
      </c>
      <c r="Q41" s="56">
        <f t="shared" si="15"/>
        <v>4512301</v>
      </c>
      <c r="R41" s="56">
        <f t="shared" si="15"/>
        <v>85942</v>
      </c>
      <c r="S41" s="56">
        <f t="shared" si="15"/>
        <v>102562</v>
      </c>
      <c r="T41" s="56"/>
      <c r="U41" s="56">
        <f t="shared" si="15"/>
        <v>188504</v>
      </c>
      <c r="V41" s="56">
        <f t="shared" si="15"/>
        <v>4700805</v>
      </c>
    </row>
    <row r="42" spans="1:22" ht="18" customHeight="1">
      <c r="A42" s="220">
        <v>2013</v>
      </c>
      <c r="B42" s="31" t="s">
        <v>64</v>
      </c>
      <c r="C42" s="55"/>
      <c r="D42" s="55"/>
      <c r="E42" s="55">
        <v>796407</v>
      </c>
      <c r="F42" s="55">
        <v>4836</v>
      </c>
      <c r="G42" s="55"/>
      <c r="H42" s="55">
        <v>1540585</v>
      </c>
      <c r="I42" s="55">
        <v>210000</v>
      </c>
      <c r="J42" s="55">
        <v>139269</v>
      </c>
      <c r="K42" s="55">
        <f>36638+36+242+923+21281</f>
        <v>59120</v>
      </c>
      <c r="L42" s="55">
        <v>1388526</v>
      </c>
      <c r="M42" s="55">
        <v>40246</v>
      </c>
      <c r="N42" s="55">
        <v>89748</v>
      </c>
      <c r="O42" s="55">
        <v>18975</v>
      </c>
      <c r="P42" s="55">
        <v>23610</v>
      </c>
      <c r="Q42" s="55">
        <f>SUM(C42:P42)</f>
        <v>4311322</v>
      </c>
      <c r="R42" s="55">
        <v>74045</v>
      </c>
      <c r="S42" s="55">
        <v>90000</v>
      </c>
      <c r="T42" s="55"/>
      <c r="U42" s="55">
        <f>SUM(R42:S42)</f>
        <v>164045</v>
      </c>
      <c r="V42" s="55">
        <f>Q42+U42</f>
        <v>4475367</v>
      </c>
    </row>
    <row r="43" spans="1:22" ht="28.5">
      <c r="A43" s="218"/>
      <c r="B43" s="3" t="s">
        <v>65</v>
      </c>
      <c r="C43" s="55">
        <v>41629</v>
      </c>
      <c r="D43" s="55">
        <v>42358</v>
      </c>
      <c r="E43" s="51"/>
      <c r="F43" s="54"/>
      <c r="G43" s="55">
        <v>52903</v>
      </c>
      <c r="H43" s="55">
        <v>37070</v>
      </c>
      <c r="I43" s="49"/>
      <c r="J43" s="55">
        <v>4513</v>
      </c>
      <c r="K43" s="55">
        <f>1692+186+43+814</f>
        <v>2735</v>
      </c>
      <c r="L43" s="55">
        <v>4417</v>
      </c>
      <c r="M43" s="51"/>
      <c r="N43" s="55">
        <v>27138</v>
      </c>
      <c r="O43" s="51"/>
      <c r="P43" s="55">
        <v>3629</v>
      </c>
      <c r="Q43" s="55">
        <f>SUM(C43:P43)</f>
        <v>216392</v>
      </c>
      <c r="R43" s="50">
        <v>7600</v>
      </c>
      <c r="S43" s="50"/>
      <c r="T43" s="50"/>
      <c r="U43" s="55">
        <f>SUM(R43:S43)</f>
        <v>7600</v>
      </c>
      <c r="V43" s="55">
        <f>Q43+U43</f>
        <v>223992</v>
      </c>
    </row>
    <row r="44" spans="1:22">
      <c r="A44" s="219"/>
      <c r="B44" s="32" t="s">
        <v>66</v>
      </c>
      <c r="C44" s="56">
        <f t="shared" ref="C44:V44" si="16">SUM(C42:C43)</f>
        <v>41629</v>
      </c>
      <c r="D44" s="56">
        <f t="shared" si="16"/>
        <v>42358</v>
      </c>
      <c r="E44" s="56">
        <f t="shared" si="16"/>
        <v>796407</v>
      </c>
      <c r="F44" s="56">
        <f t="shared" si="16"/>
        <v>4836</v>
      </c>
      <c r="G44" s="56">
        <f t="shared" si="16"/>
        <v>52903</v>
      </c>
      <c r="H44" s="56">
        <f t="shared" si="16"/>
        <v>1577655</v>
      </c>
      <c r="I44" s="56">
        <f t="shared" si="16"/>
        <v>210000</v>
      </c>
      <c r="J44" s="56">
        <f t="shared" si="16"/>
        <v>143782</v>
      </c>
      <c r="K44" s="56">
        <f t="shared" si="16"/>
        <v>61855</v>
      </c>
      <c r="L44" s="56">
        <f t="shared" si="16"/>
        <v>1392943</v>
      </c>
      <c r="M44" s="56">
        <f t="shared" si="16"/>
        <v>40246</v>
      </c>
      <c r="N44" s="56">
        <f t="shared" si="16"/>
        <v>116886</v>
      </c>
      <c r="O44" s="56">
        <f t="shared" si="16"/>
        <v>18975</v>
      </c>
      <c r="P44" s="56">
        <f t="shared" si="16"/>
        <v>27239</v>
      </c>
      <c r="Q44" s="56">
        <f t="shared" si="16"/>
        <v>4527714</v>
      </c>
      <c r="R44" s="56">
        <f t="shared" si="16"/>
        <v>81645</v>
      </c>
      <c r="S44" s="56">
        <f t="shared" si="16"/>
        <v>90000</v>
      </c>
      <c r="T44" s="56"/>
      <c r="U44" s="56">
        <f t="shared" si="16"/>
        <v>171645</v>
      </c>
      <c r="V44" s="56">
        <f t="shared" si="16"/>
        <v>4699359</v>
      </c>
    </row>
    <row r="45" spans="1:22" ht="18" customHeight="1">
      <c r="A45" s="220">
        <v>2014</v>
      </c>
      <c r="B45" s="31" t="s">
        <v>5</v>
      </c>
      <c r="C45" s="55"/>
      <c r="D45" s="55"/>
      <c r="E45" s="55">
        <v>777620</v>
      </c>
      <c r="F45" s="55">
        <v>4017</v>
      </c>
      <c r="G45" s="55"/>
      <c r="H45" s="55">
        <v>1542979</v>
      </c>
      <c r="I45" s="55">
        <v>228722</v>
      </c>
      <c r="J45" s="55">
        <f>98202+3280</f>
        <v>101482</v>
      </c>
      <c r="K45" s="55">
        <f>36237+1550+1431+31405</f>
        <v>70623</v>
      </c>
      <c r="L45" s="55">
        <v>1390647</v>
      </c>
      <c r="M45" s="55">
        <v>55668</v>
      </c>
      <c r="N45" s="55">
        <v>93041</v>
      </c>
      <c r="O45" s="55">
        <v>23984</v>
      </c>
      <c r="P45" s="55">
        <v>27712</v>
      </c>
      <c r="Q45" s="55">
        <f>SUM(C45:P45)</f>
        <v>4316495</v>
      </c>
      <c r="R45" s="55">
        <f>348270</f>
        <v>348270</v>
      </c>
      <c r="S45" s="55">
        <v>25414</v>
      </c>
      <c r="T45" s="55"/>
      <c r="U45" s="55">
        <f>SUM(R45:S45)</f>
        <v>373684</v>
      </c>
      <c r="V45" s="55">
        <f>Q45+U45</f>
        <v>4690179</v>
      </c>
    </row>
    <row r="46" spans="1:22" ht="28.5">
      <c r="A46" s="218"/>
      <c r="B46" s="3" t="s">
        <v>16</v>
      </c>
      <c r="C46" s="55">
        <v>43056</v>
      </c>
      <c r="D46" s="55">
        <v>44647</v>
      </c>
      <c r="E46" s="51"/>
      <c r="F46" s="54"/>
      <c r="G46" s="55">
        <v>53416</v>
      </c>
      <c r="H46" s="55">
        <v>37070</v>
      </c>
      <c r="I46" s="49"/>
      <c r="J46" s="55">
        <v>3900</v>
      </c>
      <c r="K46" s="55">
        <f>2084+167+10+1435</f>
        <v>3696</v>
      </c>
      <c r="L46" s="55">
        <v>4130</v>
      </c>
      <c r="M46" s="51"/>
      <c r="N46" s="55">
        <v>25483</v>
      </c>
      <c r="O46" s="51"/>
      <c r="P46" s="55">
        <v>3527</v>
      </c>
      <c r="Q46" s="55">
        <f>SUM(C46:P46)</f>
        <v>218925</v>
      </c>
      <c r="R46" s="50">
        <v>8000</v>
      </c>
      <c r="S46" s="50"/>
      <c r="T46" s="50"/>
      <c r="U46" s="55">
        <f>SUM(R46:S46)</f>
        <v>8000</v>
      </c>
      <c r="V46" s="55">
        <f>Q46+U46</f>
        <v>226925</v>
      </c>
    </row>
    <row r="47" spans="1:22">
      <c r="A47" s="219"/>
      <c r="B47" s="32" t="s">
        <v>1</v>
      </c>
      <c r="C47" s="56">
        <f t="shared" ref="C47:V47" si="17">SUM(C45:C46)</f>
        <v>43056</v>
      </c>
      <c r="D47" s="56">
        <f t="shared" si="17"/>
        <v>44647</v>
      </c>
      <c r="E47" s="56">
        <f t="shared" si="17"/>
        <v>777620</v>
      </c>
      <c r="F47" s="56">
        <f t="shared" si="17"/>
        <v>4017</v>
      </c>
      <c r="G47" s="56">
        <f t="shared" si="17"/>
        <v>53416</v>
      </c>
      <c r="H47" s="56">
        <f t="shared" si="17"/>
        <v>1580049</v>
      </c>
      <c r="I47" s="56">
        <f t="shared" si="17"/>
        <v>228722</v>
      </c>
      <c r="J47" s="56">
        <f t="shared" si="17"/>
        <v>105382</v>
      </c>
      <c r="K47" s="56">
        <f t="shared" si="17"/>
        <v>74319</v>
      </c>
      <c r="L47" s="56">
        <f t="shared" si="17"/>
        <v>1394777</v>
      </c>
      <c r="M47" s="56">
        <f t="shared" si="17"/>
        <v>55668</v>
      </c>
      <c r="N47" s="56">
        <f t="shared" si="17"/>
        <v>118524</v>
      </c>
      <c r="O47" s="56">
        <f t="shared" si="17"/>
        <v>23984</v>
      </c>
      <c r="P47" s="56">
        <f t="shared" si="17"/>
        <v>31239</v>
      </c>
      <c r="Q47" s="56">
        <f t="shared" si="17"/>
        <v>4535420</v>
      </c>
      <c r="R47" s="56">
        <f t="shared" si="17"/>
        <v>356270</v>
      </c>
      <c r="S47" s="56">
        <f t="shared" si="17"/>
        <v>25414</v>
      </c>
      <c r="T47" s="56"/>
      <c r="U47" s="56">
        <f t="shared" si="17"/>
        <v>381684</v>
      </c>
      <c r="V47" s="56">
        <f t="shared" si="17"/>
        <v>4917104</v>
      </c>
    </row>
    <row r="48" spans="1:22" ht="18" customHeight="1">
      <c r="A48" s="217">
        <v>2015</v>
      </c>
      <c r="B48" s="31" t="s">
        <v>5</v>
      </c>
      <c r="C48" s="55"/>
      <c r="D48" s="55"/>
      <c r="E48" s="55">
        <v>754835</v>
      </c>
      <c r="F48" s="55">
        <v>7707</v>
      </c>
      <c r="G48" s="55"/>
      <c r="H48" s="55">
        <v>1557737</v>
      </c>
      <c r="I48" s="55">
        <v>202500</v>
      </c>
      <c r="J48" s="55">
        <v>138169</v>
      </c>
      <c r="K48" s="55">
        <v>36541</v>
      </c>
      <c r="L48" s="55">
        <v>1353238</v>
      </c>
      <c r="M48" s="55">
        <v>59683</v>
      </c>
      <c r="N48" s="55">
        <v>105503</v>
      </c>
      <c r="O48" s="55">
        <v>29204</v>
      </c>
      <c r="P48" s="55">
        <v>27889</v>
      </c>
      <c r="Q48" s="55">
        <f>SUM(C48:P48)</f>
        <v>4273006</v>
      </c>
      <c r="R48" s="55">
        <v>258472</v>
      </c>
      <c r="S48" s="55">
        <v>22500</v>
      </c>
      <c r="T48" s="55"/>
      <c r="U48" s="55">
        <f>SUM(R48:S48)</f>
        <v>280972</v>
      </c>
      <c r="V48" s="55">
        <f>Q48+U48</f>
        <v>4553978</v>
      </c>
    </row>
    <row r="49" spans="1:22" ht="28.5">
      <c r="A49" s="218"/>
      <c r="B49" s="3" t="s">
        <v>16</v>
      </c>
      <c r="C49" s="55">
        <v>48099</v>
      </c>
      <c r="D49" s="55">
        <v>42555</v>
      </c>
      <c r="E49" s="51"/>
      <c r="F49" s="54"/>
      <c r="G49" s="55">
        <v>66743</v>
      </c>
      <c r="H49" s="55">
        <v>37070</v>
      </c>
      <c r="I49" s="49"/>
      <c r="J49" s="55">
        <v>3833</v>
      </c>
      <c r="K49" s="55">
        <v>3232</v>
      </c>
      <c r="L49" s="55">
        <v>4846</v>
      </c>
      <c r="M49" s="51"/>
      <c r="N49" s="55">
        <v>28412</v>
      </c>
      <c r="O49" s="51"/>
      <c r="P49" s="55">
        <v>4016</v>
      </c>
      <c r="Q49" s="55">
        <f>SUM(C49:P49)</f>
        <v>238806</v>
      </c>
      <c r="R49" s="50">
        <v>8000</v>
      </c>
      <c r="S49" s="50"/>
      <c r="T49" s="50"/>
      <c r="U49" s="55">
        <f>SUM(R49:S49)</f>
        <v>8000</v>
      </c>
      <c r="V49" s="55">
        <f>Q49+U49</f>
        <v>246806</v>
      </c>
    </row>
    <row r="50" spans="1:22">
      <c r="A50" s="219"/>
      <c r="B50" s="32" t="s">
        <v>1</v>
      </c>
      <c r="C50" s="56">
        <f t="shared" ref="C50:V50" si="18">SUM(C48:C49)</f>
        <v>48099</v>
      </c>
      <c r="D50" s="56">
        <f t="shared" si="18"/>
        <v>42555</v>
      </c>
      <c r="E50" s="56">
        <f t="shared" si="18"/>
        <v>754835</v>
      </c>
      <c r="F50" s="56">
        <f t="shared" si="18"/>
        <v>7707</v>
      </c>
      <c r="G50" s="56">
        <f t="shared" si="18"/>
        <v>66743</v>
      </c>
      <c r="H50" s="56">
        <f t="shared" si="18"/>
        <v>1594807</v>
      </c>
      <c r="I50" s="56">
        <f t="shared" si="18"/>
        <v>202500</v>
      </c>
      <c r="J50" s="56">
        <f t="shared" si="18"/>
        <v>142002</v>
      </c>
      <c r="K50" s="56">
        <f t="shared" si="18"/>
        <v>39773</v>
      </c>
      <c r="L50" s="56">
        <f t="shared" si="18"/>
        <v>1358084</v>
      </c>
      <c r="M50" s="56">
        <f t="shared" si="18"/>
        <v>59683</v>
      </c>
      <c r="N50" s="56">
        <f t="shared" si="18"/>
        <v>133915</v>
      </c>
      <c r="O50" s="56">
        <f t="shared" si="18"/>
        <v>29204</v>
      </c>
      <c r="P50" s="56">
        <f t="shared" si="18"/>
        <v>31905</v>
      </c>
      <c r="Q50" s="56">
        <f t="shared" si="18"/>
        <v>4511812</v>
      </c>
      <c r="R50" s="56">
        <f t="shared" si="18"/>
        <v>266472</v>
      </c>
      <c r="S50" s="56">
        <f t="shared" si="18"/>
        <v>22500</v>
      </c>
      <c r="T50" s="56"/>
      <c r="U50" s="56">
        <f t="shared" si="18"/>
        <v>288972</v>
      </c>
      <c r="V50" s="56">
        <f t="shared" si="18"/>
        <v>4800784</v>
      </c>
    </row>
    <row r="51" spans="1:22" ht="18" hidden="1" customHeight="1">
      <c r="A51" s="217" t="s">
        <v>113</v>
      </c>
      <c r="B51" s="31" t="s">
        <v>5</v>
      </c>
      <c r="C51" s="55"/>
      <c r="D51" s="55"/>
      <c r="E51" s="55">
        <v>739682</v>
      </c>
      <c r="F51" s="55">
        <v>4000</v>
      </c>
      <c r="G51" s="55"/>
      <c r="H51" s="55">
        <v>1554902</v>
      </c>
      <c r="I51" s="55">
        <v>184390</v>
      </c>
      <c r="J51" s="55">
        <v>64700</v>
      </c>
      <c r="K51" s="55">
        <v>43639</v>
      </c>
      <c r="L51" s="55">
        <v>1390000</v>
      </c>
      <c r="M51" s="55">
        <v>42000</v>
      </c>
      <c r="N51" s="55">
        <v>88554</v>
      </c>
      <c r="O51" s="55">
        <v>20000</v>
      </c>
      <c r="P51" s="55">
        <v>23000</v>
      </c>
      <c r="Q51" s="55">
        <f>SUM(C51:P51)</f>
        <v>4154867</v>
      </c>
      <c r="R51" s="55">
        <v>126430</v>
      </c>
      <c r="S51" s="55">
        <v>15200</v>
      </c>
      <c r="T51" s="55"/>
      <c r="U51" s="55">
        <f>SUM(R51:S51)</f>
        <v>141630</v>
      </c>
      <c r="V51" s="55">
        <f>Q51+U51</f>
        <v>4296497</v>
      </c>
    </row>
    <row r="52" spans="1:22" ht="28.5" hidden="1">
      <c r="A52" s="218"/>
      <c r="B52" s="3" t="s">
        <v>16</v>
      </c>
      <c r="C52" s="55">
        <v>42906</v>
      </c>
      <c r="D52" s="55">
        <v>41232</v>
      </c>
      <c r="E52" s="51"/>
      <c r="F52" s="54"/>
      <c r="G52" s="55">
        <v>51000</v>
      </c>
      <c r="H52" s="55">
        <v>37070</v>
      </c>
      <c r="I52" s="49"/>
      <c r="J52" s="55">
        <v>2500</v>
      </c>
      <c r="K52" s="55">
        <f>1000+10+700</f>
        <v>1710</v>
      </c>
      <c r="L52" s="55"/>
      <c r="M52" s="51"/>
      <c r="N52" s="55">
        <v>24835</v>
      </c>
      <c r="O52" s="51"/>
      <c r="P52" s="55">
        <v>2000</v>
      </c>
      <c r="Q52" s="55">
        <f>SUM(C52:P52)</f>
        <v>203253</v>
      </c>
      <c r="R52" s="50">
        <v>8000</v>
      </c>
      <c r="S52" s="50"/>
      <c r="T52" s="50"/>
      <c r="U52" s="55">
        <f>SUM(R52:S52)</f>
        <v>8000</v>
      </c>
      <c r="V52" s="55">
        <f>Q52+U52</f>
        <v>211253</v>
      </c>
    </row>
    <row r="53" spans="1:22" hidden="1">
      <c r="A53" s="219"/>
      <c r="B53" s="32" t="s">
        <v>1</v>
      </c>
      <c r="C53" s="56">
        <f t="shared" ref="C53:V53" si="19">SUM(C51:C52)</f>
        <v>42906</v>
      </c>
      <c r="D53" s="56">
        <f t="shared" si="19"/>
        <v>41232</v>
      </c>
      <c r="E53" s="56">
        <f t="shared" si="19"/>
        <v>739682</v>
      </c>
      <c r="F53" s="56">
        <f t="shared" si="19"/>
        <v>4000</v>
      </c>
      <c r="G53" s="56">
        <f t="shared" si="19"/>
        <v>51000</v>
      </c>
      <c r="H53" s="56">
        <f t="shared" si="19"/>
        <v>1591972</v>
      </c>
      <c r="I53" s="56">
        <f t="shared" si="19"/>
        <v>184390</v>
      </c>
      <c r="J53" s="56">
        <f t="shared" si="19"/>
        <v>67200</v>
      </c>
      <c r="K53" s="56">
        <f t="shared" si="19"/>
        <v>45349</v>
      </c>
      <c r="L53" s="56">
        <f t="shared" si="19"/>
        <v>1390000</v>
      </c>
      <c r="M53" s="56">
        <f t="shared" si="19"/>
        <v>42000</v>
      </c>
      <c r="N53" s="56">
        <f t="shared" si="19"/>
        <v>113389</v>
      </c>
      <c r="O53" s="56">
        <f t="shared" si="19"/>
        <v>20000</v>
      </c>
      <c r="P53" s="56">
        <f t="shared" si="19"/>
        <v>25000</v>
      </c>
      <c r="Q53" s="56">
        <f t="shared" si="19"/>
        <v>4358120</v>
      </c>
      <c r="R53" s="56">
        <f t="shared" si="19"/>
        <v>134430</v>
      </c>
      <c r="S53" s="56">
        <f t="shared" si="19"/>
        <v>15200</v>
      </c>
      <c r="T53" s="56"/>
      <c r="U53" s="56">
        <f t="shared" si="19"/>
        <v>149630</v>
      </c>
      <c r="V53" s="56">
        <f t="shared" si="19"/>
        <v>4507750</v>
      </c>
    </row>
    <row r="54" spans="1:22" ht="18" customHeight="1">
      <c r="A54" s="217">
        <v>2016</v>
      </c>
      <c r="B54" s="31" t="s">
        <v>5</v>
      </c>
      <c r="C54" s="55"/>
      <c r="D54" s="55"/>
      <c r="E54" s="55">
        <v>752719</v>
      </c>
      <c r="F54" s="55">
        <v>7462</v>
      </c>
      <c r="G54" s="55"/>
      <c r="H54" s="55">
        <v>1554902</v>
      </c>
      <c r="I54" s="55">
        <v>183969</v>
      </c>
      <c r="J54" s="55">
        <v>56091</v>
      </c>
      <c r="K54" s="55">
        <v>48693</v>
      </c>
      <c r="L54" s="55">
        <v>1387604</v>
      </c>
      <c r="M54" s="55">
        <v>73937</v>
      </c>
      <c r="N54" s="55">
        <v>119523</v>
      </c>
      <c r="O54" s="55">
        <v>44998</v>
      </c>
      <c r="P54" s="55">
        <v>25058</v>
      </c>
      <c r="Q54" s="55">
        <f>SUM(C54:P54)</f>
        <v>4254956</v>
      </c>
      <c r="R54" s="55">
        <v>126430</v>
      </c>
      <c r="S54" s="55">
        <v>23989</v>
      </c>
      <c r="T54" s="55">
        <v>10149</v>
      </c>
      <c r="U54" s="55">
        <f>SUM(R54:T54)</f>
        <v>160568</v>
      </c>
      <c r="V54" s="55">
        <f>Q54+U54</f>
        <v>4415524</v>
      </c>
    </row>
    <row r="55" spans="1:22" ht="28.5">
      <c r="A55" s="218"/>
      <c r="B55" s="3" t="s">
        <v>16</v>
      </c>
      <c r="C55" s="55">
        <v>52438</v>
      </c>
      <c r="D55" s="55">
        <v>40131</v>
      </c>
      <c r="E55" s="51"/>
      <c r="F55" s="54"/>
      <c r="G55" s="55">
        <v>70538</v>
      </c>
      <c r="H55" s="55">
        <v>37070</v>
      </c>
      <c r="I55" s="49"/>
      <c r="J55" s="55">
        <v>3660</v>
      </c>
      <c r="K55" s="55">
        <v>3211</v>
      </c>
      <c r="L55" s="55">
        <v>4129</v>
      </c>
      <c r="M55" s="51"/>
      <c r="N55" s="55">
        <v>25695</v>
      </c>
      <c r="O55" s="51"/>
      <c r="P55" s="55">
        <v>3555</v>
      </c>
      <c r="Q55" s="55">
        <f>SUM(C55:P55)</f>
        <v>240427</v>
      </c>
      <c r="R55" s="50">
        <v>8000</v>
      </c>
      <c r="S55" s="50"/>
      <c r="T55" s="50"/>
      <c r="U55" s="55">
        <f>SUM(R55:S55)</f>
        <v>8000</v>
      </c>
      <c r="V55" s="55">
        <f>Q55+U55</f>
        <v>248427</v>
      </c>
    </row>
    <row r="56" spans="1:22">
      <c r="A56" s="219"/>
      <c r="B56" s="32" t="s">
        <v>1</v>
      </c>
      <c r="C56" s="56">
        <f t="shared" ref="C56:V56" si="20">SUM(C54:C55)</f>
        <v>52438</v>
      </c>
      <c r="D56" s="56">
        <f t="shared" si="20"/>
        <v>40131</v>
      </c>
      <c r="E56" s="56">
        <f t="shared" si="20"/>
        <v>752719</v>
      </c>
      <c r="F56" s="56">
        <f t="shared" si="20"/>
        <v>7462</v>
      </c>
      <c r="G56" s="56">
        <f t="shared" si="20"/>
        <v>70538</v>
      </c>
      <c r="H56" s="56">
        <f t="shared" si="20"/>
        <v>1591972</v>
      </c>
      <c r="I56" s="56">
        <f t="shared" si="20"/>
        <v>183969</v>
      </c>
      <c r="J56" s="56">
        <f t="shared" si="20"/>
        <v>59751</v>
      </c>
      <c r="K56" s="56">
        <f t="shared" si="20"/>
        <v>51904</v>
      </c>
      <c r="L56" s="56">
        <f t="shared" si="20"/>
        <v>1391733</v>
      </c>
      <c r="M56" s="56">
        <f t="shared" si="20"/>
        <v>73937</v>
      </c>
      <c r="N56" s="56">
        <f t="shared" si="20"/>
        <v>145218</v>
      </c>
      <c r="O56" s="56">
        <f t="shared" si="20"/>
        <v>44998</v>
      </c>
      <c r="P56" s="56">
        <f t="shared" si="20"/>
        <v>28613</v>
      </c>
      <c r="Q56" s="56">
        <f t="shared" si="20"/>
        <v>4495383</v>
      </c>
      <c r="R56" s="56">
        <f t="shared" si="20"/>
        <v>134430</v>
      </c>
      <c r="S56" s="56">
        <f t="shared" si="20"/>
        <v>23989</v>
      </c>
      <c r="T56" s="56">
        <f t="shared" si="20"/>
        <v>10149</v>
      </c>
      <c r="U56" s="56">
        <f t="shared" si="20"/>
        <v>168568</v>
      </c>
      <c r="V56" s="56">
        <f t="shared" si="20"/>
        <v>4663951</v>
      </c>
    </row>
    <row r="57" spans="1:22" ht="18" customHeight="1">
      <c r="A57" s="217">
        <v>2017</v>
      </c>
      <c r="B57" s="31" t="s">
        <v>5</v>
      </c>
      <c r="C57" s="55"/>
      <c r="D57" s="55"/>
      <c r="E57" s="55">
        <v>752697</v>
      </c>
      <c r="F57" s="55">
        <v>8031</v>
      </c>
      <c r="G57" s="55"/>
      <c r="H57" s="55">
        <v>1547982</v>
      </c>
      <c r="I57" s="55">
        <v>130812</v>
      </c>
      <c r="J57" s="55">
        <v>80244</v>
      </c>
      <c r="K57" s="55">
        <v>47108</v>
      </c>
      <c r="L57" s="55">
        <v>1514808</v>
      </c>
      <c r="M57" s="55">
        <v>62441</v>
      </c>
      <c r="N57" s="55">
        <v>135661</v>
      </c>
      <c r="O57" s="55">
        <v>33807</v>
      </c>
      <c r="P57" s="55">
        <v>21143</v>
      </c>
      <c r="Q57" s="55">
        <f>SUM(C57:P57)</f>
        <v>4334734</v>
      </c>
      <c r="R57" s="55">
        <v>75830</v>
      </c>
      <c r="S57" s="55">
        <v>55534</v>
      </c>
      <c r="T57" s="55">
        <v>25522</v>
      </c>
      <c r="U57" s="55">
        <f>SUM(R57:T57)</f>
        <v>156886</v>
      </c>
      <c r="V57" s="55">
        <f>Q57+U57</f>
        <v>4491620</v>
      </c>
    </row>
    <row r="58" spans="1:22" ht="28.5">
      <c r="A58" s="218"/>
      <c r="B58" s="3" t="s">
        <v>16</v>
      </c>
      <c r="C58" s="55">
        <v>51572</v>
      </c>
      <c r="D58" s="55">
        <v>40561</v>
      </c>
      <c r="E58" s="51"/>
      <c r="F58" s="54"/>
      <c r="G58" s="55">
        <v>66164</v>
      </c>
      <c r="H58" s="55">
        <v>37070</v>
      </c>
      <c r="I58" s="49"/>
      <c r="J58" s="55">
        <v>3302</v>
      </c>
      <c r="K58" s="55">
        <v>2728</v>
      </c>
      <c r="L58" s="55">
        <v>1958</v>
      </c>
      <c r="M58" s="51"/>
      <c r="N58" s="55">
        <v>23780</v>
      </c>
      <c r="O58" s="51"/>
      <c r="P58" s="55">
        <v>2855</v>
      </c>
      <c r="Q58" s="55">
        <f>SUM(C58:P58)</f>
        <v>229990</v>
      </c>
      <c r="R58" s="50">
        <v>8000</v>
      </c>
      <c r="S58" s="50"/>
      <c r="T58" s="50"/>
      <c r="U58" s="55">
        <f>SUM(R58:S58)</f>
        <v>8000</v>
      </c>
      <c r="V58" s="55">
        <f>Q58+U58</f>
        <v>237990</v>
      </c>
    </row>
    <row r="59" spans="1:22">
      <c r="A59" s="219"/>
      <c r="B59" s="32" t="s">
        <v>1</v>
      </c>
      <c r="C59" s="56">
        <f t="shared" ref="C59:V59" si="21">SUM(C57:C58)</f>
        <v>51572</v>
      </c>
      <c r="D59" s="56">
        <f t="shared" si="21"/>
        <v>40561</v>
      </c>
      <c r="E59" s="56">
        <f t="shared" si="21"/>
        <v>752697</v>
      </c>
      <c r="F59" s="56">
        <f t="shared" si="21"/>
        <v>8031</v>
      </c>
      <c r="G59" s="56">
        <f t="shared" si="21"/>
        <v>66164</v>
      </c>
      <c r="H59" s="56">
        <f t="shared" si="21"/>
        <v>1585052</v>
      </c>
      <c r="I59" s="56">
        <f t="shared" si="21"/>
        <v>130812</v>
      </c>
      <c r="J59" s="56">
        <f t="shared" si="21"/>
        <v>83546</v>
      </c>
      <c r="K59" s="56">
        <f t="shared" si="21"/>
        <v>49836</v>
      </c>
      <c r="L59" s="56">
        <f t="shared" si="21"/>
        <v>1516766</v>
      </c>
      <c r="M59" s="56">
        <f t="shared" si="21"/>
        <v>62441</v>
      </c>
      <c r="N59" s="56">
        <f t="shared" si="21"/>
        <v>159441</v>
      </c>
      <c r="O59" s="56">
        <f t="shared" si="21"/>
        <v>33807</v>
      </c>
      <c r="P59" s="56">
        <f t="shared" si="21"/>
        <v>23998</v>
      </c>
      <c r="Q59" s="56">
        <f t="shared" si="21"/>
        <v>4564724</v>
      </c>
      <c r="R59" s="56">
        <f t="shared" si="21"/>
        <v>83830</v>
      </c>
      <c r="S59" s="56">
        <f t="shared" si="21"/>
        <v>55534</v>
      </c>
      <c r="T59" s="56">
        <f t="shared" si="21"/>
        <v>25522</v>
      </c>
      <c r="U59" s="56">
        <f t="shared" si="21"/>
        <v>164886</v>
      </c>
      <c r="V59" s="56">
        <f t="shared" si="21"/>
        <v>4729610</v>
      </c>
    </row>
    <row r="60" spans="1:22" ht="18" customHeight="1">
      <c r="A60" s="217">
        <v>2018</v>
      </c>
      <c r="B60" s="31" t="s">
        <v>5</v>
      </c>
      <c r="C60" s="55"/>
      <c r="D60" s="55"/>
      <c r="E60" s="55">
        <v>750160</v>
      </c>
      <c r="F60" s="55">
        <v>8604</v>
      </c>
      <c r="G60" s="55"/>
      <c r="H60" s="55">
        <v>1584183</v>
      </c>
      <c r="I60" s="55">
        <v>283080</v>
      </c>
      <c r="J60" s="55">
        <v>186166</v>
      </c>
      <c r="K60" s="55">
        <v>46337</v>
      </c>
      <c r="L60" s="55">
        <v>2064302</v>
      </c>
      <c r="M60" s="55">
        <v>55585</v>
      </c>
      <c r="N60" s="55">
        <v>127393</v>
      </c>
      <c r="O60" s="55">
        <v>33308</v>
      </c>
      <c r="P60" s="55">
        <v>29269</v>
      </c>
      <c r="Q60" s="55">
        <f>SUM(C60:P60)</f>
        <v>5168387</v>
      </c>
      <c r="R60" s="55">
        <v>79750</v>
      </c>
      <c r="S60" s="55">
        <v>68233</v>
      </c>
      <c r="T60" s="55">
        <v>7164</v>
      </c>
      <c r="U60" s="55">
        <f>SUM(R60:T60)</f>
        <v>155147</v>
      </c>
      <c r="V60" s="55">
        <f>Q60+U60</f>
        <v>5323534</v>
      </c>
    </row>
    <row r="61" spans="1:22" ht="28.5">
      <c r="A61" s="218"/>
      <c r="B61" s="3" t="s">
        <v>16</v>
      </c>
      <c r="C61" s="55">
        <v>48647</v>
      </c>
      <c r="D61" s="55">
        <v>40902</v>
      </c>
      <c r="E61" s="51"/>
      <c r="F61" s="54"/>
      <c r="G61" s="55">
        <v>70692</v>
      </c>
      <c r="H61" s="55">
        <v>37941</v>
      </c>
      <c r="I61" s="49"/>
      <c r="J61" s="55">
        <v>3863</v>
      </c>
      <c r="K61" s="55">
        <v>1354</v>
      </c>
      <c r="L61" s="55">
        <v>301</v>
      </c>
      <c r="M61" s="51"/>
      <c r="N61" s="55">
        <v>29027</v>
      </c>
      <c r="O61" s="51"/>
      <c r="P61" s="55">
        <v>2189</v>
      </c>
      <c r="Q61" s="55">
        <f>SUM(C61:P61)</f>
        <v>234916</v>
      </c>
      <c r="R61" s="50">
        <v>7264</v>
      </c>
      <c r="S61" s="50"/>
      <c r="T61" s="50"/>
      <c r="U61" s="55">
        <f>SUM(R61:S61)</f>
        <v>7264</v>
      </c>
      <c r="V61" s="55">
        <f>Q61+U61</f>
        <v>242180</v>
      </c>
    </row>
    <row r="62" spans="1:22">
      <c r="A62" s="219"/>
      <c r="B62" s="32" t="s">
        <v>1</v>
      </c>
      <c r="C62" s="56">
        <f t="shared" ref="C62:V62" si="22">SUM(C60:C61)</f>
        <v>48647</v>
      </c>
      <c r="D62" s="56">
        <f t="shared" si="22"/>
        <v>40902</v>
      </c>
      <c r="E62" s="56">
        <f t="shared" si="22"/>
        <v>750160</v>
      </c>
      <c r="F62" s="56">
        <f t="shared" si="22"/>
        <v>8604</v>
      </c>
      <c r="G62" s="56">
        <f t="shared" si="22"/>
        <v>70692</v>
      </c>
      <c r="H62" s="56">
        <f t="shared" si="22"/>
        <v>1622124</v>
      </c>
      <c r="I62" s="56">
        <f t="shared" si="22"/>
        <v>283080</v>
      </c>
      <c r="J62" s="56">
        <f t="shared" si="22"/>
        <v>190029</v>
      </c>
      <c r="K62" s="56">
        <f t="shared" si="22"/>
        <v>47691</v>
      </c>
      <c r="L62" s="56">
        <f t="shared" si="22"/>
        <v>2064603</v>
      </c>
      <c r="M62" s="56">
        <f t="shared" si="22"/>
        <v>55585</v>
      </c>
      <c r="N62" s="56">
        <f t="shared" si="22"/>
        <v>156420</v>
      </c>
      <c r="O62" s="56">
        <f t="shared" si="22"/>
        <v>33308</v>
      </c>
      <c r="P62" s="56">
        <f t="shared" si="22"/>
        <v>31458</v>
      </c>
      <c r="Q62" s="56">
        <f t="shared" si="22"/>
        <v>5403303</v>
      </c>
      <c r="R62" s="56">
        <f t="shared" si="22"/>
        <v>87014</v>
      </c>
      <c r="S62" s="56">
        <f t="shared" si="22"/>
        <v>68233</v>
      </c>
      <c r="T62" s="56">
        <f t="shared" si="22"/>
        <v>7164</v>
      </c>
      <c r="U62" s="56">
        <f t="shared" si="22"/>
        <v>162411</v>
      </c>
      <c r="V62" s="56">
        <f t="shared" si="22"/>
        <v>5565714</v>
      </c>
    </row>
    <row r="63" spans="1:22">
      <c r="A63" s="217">
        <v>2019</v>
      </c>
      <c r="B63" s="31" t="s">
        <v>5</v>
      </c>
      <c r="C63" s="55"/>
      <c r="D63" s="55"/>
      <c r="E63" s="55">
        <v>782699</v>
      </c>
      <c r="F63" s="55">
        <v>11581</v>
      </c>
      <c r="G63" s="55"/>
      <c r="H63" s="55">
        <v>1617092</v>
      </c>
      <c r="I63" s="55">
        <v>323531</v>
      </c>
      <c r="J63" s="55">
        <v>178203</v>
      </c>
      <c r="K63" s="55">
        <v>55259</v>
      </c>
      <c r="L63" s="55">
        <v>1870315</v>
      </c>
      <c r="M63" s="55">
        <v>63126</v>
      </c>
      <c r="N63" s="55">
        <v>166614</v>
      </c>
      <c r="O63" s="55">
        <v>52407</v>
      </c>
      <c r="P63" s="55">
        <v>37834</v>
      </c>
      <c r="Q63" s="55">
        <f>SUM(C63:P63)</f>
        <v>5158661</v>
      </c>
      <c r="R63" s="55">
        <v>72038</v>
      </c>
      <c r="S63" s="55">
        <v>77953</v>
      </c>
      <c r="T63" s="55">
        <v>13402</v>
      </c>
      <c r="U63" s="55">
        <f>SUM(R63:T63)</f>
        <v>163393</v>
      </c>
      <c r="V63" s="55">
        <f>Q63+U63</f>
        <v>5322054</v>
      </c>
    </row>
    <row r="64" spans="1:22" ht="28.5">
      <c r="A64" s="218"/>
      <c r="B64" s="3" t="s">
        <v>16</v>
      </c>
      <c r="C64" s="55">
        <v>60531</v>
      </c>
      <c r="D64" s="55">
        <v>43170</v>
      </c>
      <c r="E64" s="51"/>
      <c r="F64" s="54"/>
      <c r="G64" s="55">
        <v>71812</v>
      </c>
      <c r="H64" s="55">
        <v>37941</v>
      </c>
      <c r="I64" s="49"/>
      <c r="J64" s="55">
        <v>14075</v>
      </c>
      <c r="K64" s="55">
        <v>2164</v>
      </c>
      <c r="L64" s="55">
        <v>732</v>
      </c>
      <c r="M64" s="51"/>
      <c r="N64" s="55">
        <v>24895</v>
      </c>
      <c r="O64" s="51"/>
      <c r="P64" s="55">
        <v>3843</v>
      </c>
      <c r="Q64" s="55">
        <f>SUM(C64:P64)</f>
        <v>259163</v>
      </c>
      <c r="R64" s="50">
        <v>7600</v>
      </c>
      <c r="S64" s="50"/>
      <c r="T64" s="50">
        <v>6400</v>
      </c>
      <c r="U64" s="55">
        <f>SUM(R64:T64)</f>
        <v>14000</v>
      </c>
      <c r="V64" s="55">
        <f>Q64+U64</f>
        <v>273163</v>
      </c>
    </row>
    <row r="65" spans="1:22">
      <c r="A65" s="219"/>
      <c r="B65" s="32" t="s">
        <v>1</v>
      </c>
      <c r="C65" s="56">
        <f t="shared" ref="C65:T65" si="23">SUM(C63:C64)</f>
        <v>60531</v>
      </c>
      <c r="D65" s="56">
        <f t="shared" si="23"/>
        <v>43170</v>
      </c>
      <c r="E65" s="56">
        <f t="shared" si="23"/>
        <v>782699</v>
      </c>
      <c r="F65" s="56">
        <f t="shared" si="23"/>
        <v>11581</v>
      </c>
      <c r="G65" s="56">
        <f t="shared" si="23"/>
        <v>71812</v>
      </c>
      <c r="H65" s="56">
        <f t="shared" si="23"/>
        <v>1655033</v>
      </c>
      <c r="I65" s="56">
        <f t="shared" si="23"/>
        <v>323531</v>
      </c>
      <c r="J65" s="56">
        <f t="shared" si="23"/>
        <v>192278</v>
      </c>
      <c r="K65" s="56">
        <f t="shared" si="23"/>
        <v>57423</v>
      </c>
      <c r="L65" s="56">
        <f t="shared" si="23"/>
        <v>1871047</v>
      </c>
      <c r="M65" s="56">
        <f t="shared" si="23"/>
        <v>63126</v>
      </c>
      <c r="N65" s="56">
        <f t="shared" si="23"/>
        <v>191509</v>
      </c>
      <c r="O65" s="56">
        <f t="shared" si="23"/>
        <v>52407</v>
      </c>
      <c r="P65" s="56">
        <f t="shared" si="23"/>
        <v>41677</v>
      </c>
      <c r="Q65" s="56">
        <f t="shared" si="23"/>
        <v>5417824</v>
      </c>
      <c r="R65" s="56">
        <f t="shared" si="23"/>
        <v>79638</v>
      </c>
      <c r="S65" s="56">
        <f t="shared" si="23"/>
        <v>77953</v>
      </c>
      <c r="T65" s="56">
        <f t="shared" si="23"/>
        <v>19802</v>
      </c>
      <c r="U65" s="56">
        <f t="shared" ref="U65:V65" si="24">SUM(U63:U64)</f>
        <v>177393</v>
      </c>
      <c r="V65" s="56">
        <f t="shared" si="24"/>
        <v>5595217</v>
      </c>
    </row>
    <row r="66" spans="1:22">
      <c r="A66" s="217">
        <v>2020</v>
      </c>
      <c r="B66" s="31" t="s">
        <v>5</v>
      </c>
      <c r="C66" s="55"/>
      <c r="D66" s="55"/>
      <c r="E66" s="55">
        <v>784939</v>
      </c>
      <c r="F66" s="55">
        <v>19445</v>
      </c>
      <c r="G66" s="55"/>
      <c r="H66" s="55">
        <v>1598058</v>
      </c>
      <c r="I66" s="55">
        <v>350989</v>
      </c>
      <c r="J66" s="55">
        <v>169554</v>
      </c>
      <c r="K66" s="55">
        <v>55823</v>
      </c>
      <c r="L66" s="55">
        <v>1865378</v>
      </c>
      <c r="M66" s="55">
        <v>77946</v>
      </c>
      <c r="N66" s="55">
        <v>164474</v>
      </c>
      <c r="O66" s="55">
        <v>44750</v>
      </c>
      <c r="P66" s="55">
        <v>28987</v>
      </c>
      <c r="Q66" s="55">
        <f>SUM(C66:P66)</f>
        <v>5160343</v>
      </c>
      <c r="R66" s="55">
        <v>75830</v>
      </c>
      <c r="S66" s="55">
        <v>84333</v>
      </c>
      <c r="T66" s="55">
        <v>35951</v>
      </c>
      <c r="U66" s="55">
        <f>SUM(R66:T66)</f>
        <v>196114</v>
      </c>
      <c r="V66" s="55">
        <f>Q66+U66</f>
        <v>5356457</v>
      </c>
    </row>
    <row r="67" spans="1:22" ht="28.5">
      <c r="A67" s="218"/>
      <c r="B67" s="3" t="s">
        <v>16</v>
      </c>
      <c r="C67" s="55">
        <v>65364</v>
      </c>
      <c r="D67" s="55">
        <v>46488</v>
      </c>
      <c r="E67" s="51"/>
      <c r="F67" s="54"/>
      <c r="G67" s="55">
        <v>67048</v>
      </c>
      <c r="H67" s="55">
        <v>37541</v>
      </c>
      <c r="I67" s="49"/>
      <c r="J67" s="55">
        <v>8279</v>
      </c>
      <c r="K67" s="55">
        <v>3215</v>
      </c>
      <c r="L67" s="55">
        <v>5895</v>
      </c>
      <c r="M67" s="51"/>
      <c r="N67" s="55">
        <v>26220</v>
      </c>
      <c r="O67" s="51"/>
      <c r="P67" s="55">
        <v>3112</v>
      </c>
      <c r="Q67" s="55">
        <f>SUM(C67:P67)</f>
        <v>263162</v>
      </c>
      <c r="R67" s="50">
        <v>8000</v>
      </c>
      <c r="S67" s="50"/>
      <c r="T67" s="50"/>
      <c r="U67" s="55">
        <f>SUM(R67:T67)</f>
        <v>8000</v>
      </c>
      <c r="V67" s="55">
        <f>Q67+U67</f>
        <v>271162</v>
      </c>
    </row>
    <row r="68" spans="1:22">
      <c r="A68" s="219"/>
      <c r="B68" s="32" t="s">
        <v>1</v>
      </c>
      <c r="C68" s="56">
        <f t="shared" ref="C68:V68" si="25">SUM(C66:C67)</f>
        <v>65364</v>
      </c>
      <c r="D68" s="56">
        <f t="shared" si="25"/>
        <v>46488</v>
      </c>
      <c r="E68" s="56">
        <f t="shared" si="25"/>
        <v>784939</v>
      </c>
      <c r="F68" s="56">
        <f t="shared" si="25"/>
        <v>19445</v>
      </c>
      <c r="G68" s="56">
        <f t="shared" si="25"/>
        <v>67048</v>
      </c>
      <c r="H68" s="56">
        <f t="shared" si="25"/>
        <v>1635599</v>
      </c>
      <c r="I68" s="56">
        <f t="shared" si="25"/>
        <v>350989</v>
      </c>
      <c r="J68" s="56">
        <f t="shared" si="25"/>
        <v>177833</v>
      </c>
      <c r="K68" s="56">
        <f t="shared" si="25"/>
        <v>59038</v>
      </c>
      <c r="L68" s="56">
        <f t="shared" si="25"/>
        <v>1871273</v>
      </c>
      <c r="M68" s="56">
        <f t="shared" si="25"/>
        <v>77946</v>
      </c>
      <c r="N68" s="56">
        <f t="shared" si="25"/>
        <v>190694</v>
      </c>
      <c r="O68" s="56">
        <f t="shared" si="25"/>
        <v>44750</v>
      </c>
      <c r="P68" s="56">
        <f t="shared" si="25"/>
        <v>32099</v>
      </c>
      <c r="Q68" s="56">
        <f t="shared" si="25"/>
        <v>5423505</v>
      </c>
      <c r="R68" s="56">
        <f t="shared" si="25"/>
        <v>83830</v>
      </c>
      <c r="S68" s="56">
        <f t="shared" si="25"/>
        <v>84333</v>
      </c>
      <c r="T68" s="56">
        <f t="shared" si="25"/>
        <v>35951</v>
      </c>
      <c r="U68" s="56">
        <f t="shared" si="25"/>
        <v>204114</v>
      </c>
      <c r="V68" s="56">
        <f t="shared" si="25"/>
        <v>5627619</v>
      </c>
    </row>
    <row r="69" spans="1:22">
      <c r="A69" s="217">
        <v>2021</v>
      </c>
      <c r="B69" s="31" t="s">
        <v>5</v>
      </c>
      <c r="C69" s="55"/>
      <c r="D69" s="55"/>
      <c r="E69" s="55">
        <v>763862</v>
      </c>
      <c r="F69" s="55">
        <v>4873</v>
      </c>
      <c r="G69" s="55"/>
      <c r="H69" s="55">
        <v>1598058</v>
      </c>
      <c r="I69" s="55">
        <v>351441</v>
      </c>
      <c r="J69" s="55">
        <v>151813</v>
      </c>
      <c r="K69" s="55">
        <v>52211</v>
      </c>
      <c r="L69" s="55">
        <v>1886831</v>
      </c>
      <c r="M69" s="55">
        <v>78287</v>
      </c>
      <c r="N69" s="55">
        <v>167574</v>
      </c>
      <c r="O69" s="55">
        <v>49148</v>
      </c>
      <c r="P69" s="55">
        <v>20894</v>
      </c>
      <c r="Q69" s="55">
        <f>SUM(C69:P69)</f>
        <v>5124992</v>
      </c>
      <c r="R69" s="55">
        <v>75830</v>
      </c>
      <c r="S69" s="55">
        <v>84317</v>
      </c>
      <c r="T69" s="55">
        <v>31081</v>
      </c>
      <c r="U69" s="55">
        <f>SUM(R69:T69)</f>
        <v>191228</v>
      </c>
      <c r="V69" s="55">
        <f>Q69+U69</f>
        <v>5316220</v>
      </c>
    </row>
    <row r="70" spans="1:22" ht="28.5">
      <c r="A70" s="218"/>
      <c r="B70" s="3" t="s">
        <v>16</v>
      </c>
      <c r="C70" s="55">
        <v>46165</v>
      </c>
      <c r="D70" s="55">
        <v>49429</v>
      </c>
      <c r="E70" s="51"/>
      <c r="F70" s="54"/>
      <c r="G70" s="55">
        <v>61859</v>
      </c>
      <c r="H70" s="55">
        <v>37541</v>
      </c>
      <c r="I70" s="49"/>
      <c r="J70" s="55">
        <v>1080</v>
      </c>
      <c r="K70" s="55">
        <v>1211</v>
      </c>
      <c r="L70" s="55">
        <v>6263</v>
      </c>
      <c r="M70" s="51"/>
      <c r="N70" s="55">
        <v>20505</v>
      </c>
      <c r="O70" s="51">
        <v>8</v>
      </c>
      <c r="P70" s="55">
        <v>2542</v>
      </c>
      <c r="Q70" s="55">
        <f>SUM(C70:P70)</f>
        <v>226603</v>
      </c>
      <c r="R70" s="50">
        <v>8000</v>
      </c>
      <c r="S70" s="50"/>
      <c r="T70" s="50"/>
      <c r="U70" s="55">
        <f>SUM(R70:T70)</f>
        <v>8000</v>
      </c>
      <c r="V70" s="55">
        <f>Q70+U70</f>
        <v>234603</v>
      </c>
    </row>
    <row r="71" spans="1:22">
      <c r="A71" s="219"/>
      <c r="B71" s="32" t="s">
        <v>1</v>
      </c>
      <c r="C71" s="56">
        <f t="shared" ref="C71:V71" si="26">SUM(C69:C70)</f>
        <v>46165</v>
      </c>
      <c r="D71" s="56">
        <f t="shared" si="26"/>
        <v>49429</v>
      </c>
      <c r="E71" s="56">
        <f t="shared" si="26"/>
        <v>763862</v>
      </c>
      <c r="F71" s="56">
        <f t="shared" si="26"/>
        <v>4873</v>
      </c>
      <c r="G71" s="56">
        <f t="shared" si="26"/>
        <v>61859</v>
      </c>
      <c r="H71" s="56">
        <f t="shared" si="26"/>
        <v>1635599</v>
      </c>
      <c r="I71" s="56">
        <f t="shared" si="26"/>
        <v>351441</v>
      </c>
      <c r="J71" s="56">
        <f t="shared" si="26"/>
        <v>152893</v>
      </c>
      <c r="K71" s="56">
        <f t="shared" si="26"/>
        <v>53422</v>
      </c>
      <c r="L71" s="56">
        <f t="shared" si="26"/>
        <v>1893094</v>
      </c>
      <c r="M71" s="56">
        <f t="shared" si="26"/>
        <v>78287</v>
      </c>
      <c r="N71" s="56">
        <f t="shared" si="26"/>
        <v>188079</v>
      </c>
      <c r="O71" s="56">
        <f t="shared" si="26"/>
        <v>49156</v>
      </c>
      <c r="P71" s="56">
        <f t="shared" si="26"/>
        <v>23436</v>
      </c>
      <c r="Q71" s="56">
        <f t="shared" si="26"/>
        <v>5351595</v>
      </c>
      <c r="R71" s="56">
        <f t="shared" si="26"/>
        <v>83830</v>
      </c>
      <c r="S71" s="56">
        <f t="shared" si="26"/>
        <v>84317</v>
      </c>
      <c r="T71" s="56">
        <f t="shared" si="26"/>
        <v>31081</v>
      </c>
      <c r="U71" s="56">
        <f t="shared" si="26"/>
        <v>199228</v>
      </c>
      <c r="V71" s="56">
        <f t="shared" si="26"/>
        <v>5550823</v>
      </c>
    </row>
    <row r="72" spans="1:22">
      <c r="A72" s="217">
        <v>2022</v>
      </c>
      <c r="B72" s="31" t="s">
        <v>5</v>
      </c>
      <c r="C72" s="55"/>
      <c r="D72" s="55"/>
      <c r="E72" s="55">
        <v>800509</v>
      </c>
      <c r="F72" s="55">
        <v>10292</v>
      </c>
      <c r="G72" s="55"/>
      <c r="H72" s="55">
        <v>1655378</v>
      </c>
      <c r="I72" s="55">
        <v>354473</v>
      </c>
      <c r="J72" s="55">
        <v>195295</v>
      </c>
      <c r="K72" s="55">
        <v>56645</v>
      </c>
      <c r="L72" s="55">
        <v>2127362</v>
      </c>
      <c r="M72" s="55">
        <v>93191</v>
      </c>
      <c r="N72" s="55">
        <v>207018</v>
      </c>
      <c r="O72" s="55">
        <v>62242</v>
      </c>
      <c r="P72" s="55">
        <v>34477</v>
      </c>
      <c r="Q72" s="55">
        <f>SUM(C72:P72)</f>
        <v>5596882</v>
      </c>
      <c r="R72" s="55">
        <v>75830</v>
      </c>
      <c r="S72" s="55">
        <v>83433</v>
      </c>
      <c r="T72" s="55">
        <v>666271</v>
      </c>
      <c r="U72" s="55">
        <f>SUM(R72:T72)</f>
        <v>825534</v>
      </c>
      <c r="V72" s="55">
        <f>Q72+U72</f>
        <v>6422416</v>
      </c>
    </row>
    <row r="73" spans="1:22" ht="28.5">
      <c r="A73" s="218"/>
      <c r="B73" s="3" t="s">
        <v>16</v>
      </c>
      <c r="C73" s="55">
        <v>59843</v>
      </c>
      <c r="D73" s="55">
        <v>54680</v>
      </c>
      <c r="E73" s="51"/>
      <c r="F73" s="54"/>
      <c r="G73" s="55">
        <v>60644</v>
      </c>
      <c r="H73" s="55">
        <v>38569</v>
      </c>
      <c r="I73" s="49"/>
      <c r="J73" s="55"/>
      <c r="K73" s="55">
        <v>3208</v>
      </c>
      <c r="L73" s="55">
        <v>7644</v>
      </c>
      <c r="M73" s="51"/>
      <c r="N73" s="55">
        <v>25672</v>
      </c>
      <c r="O73" s="51">
        <v>330</v>
      </c>
      <c r="P73" s="55">
        <v>2863</v>
      </c>
      <c r="Q73" s="55">
        <f>SUM(C73:P73)</f>
        <v>253453</v>
      </c>
      <c r="R73" s="50">
        <v>8000</v>
      </c>
      <c r="S73" s="50"/>
      <c r="T73" s="50"/>
      <c r="U73" s="55">
        <f>SUM(R73:T73)</f>
        <v>8000</v>
      </c>
      <c r="V73" s="55">
        <f>Q73+U73</f>
        <v>261453</v>
      </c>
    </row>
    <row r="74" spans="1:22">
      <c r="A74" s="219"/>
      <c r="B74" s="32" t="s">
        <v>1</v>
      </c>
      <c r="C74" s="56">
        <f t="shared" ref="C74:V74" si="27">SUM(C72:C73)</f>
        <v>59843</v>
      </c>
      <c r="D74" s="56">
        <f t="shared" si="27"/>
        <v>54680</v>
      </c>
      <c r="E74" s="56">
        <f t="shared" si="27"/>
        <v>800509</v>
      </c>
      <c r="F74" s="56">
        <f t="shared" si="27"/>
        <v>10292</v>
      </c>
      <c r="G74" s="56">
        <f t="shared" si="27"/>
        <v>60644</v>
      </c>
      <c r="H74" s="56">
        <f t="shared" si="27"/>
        <v>1693947</v>
      </c>
      <c r="I74" s="56">
        <f t="shared" si="27"/>
        <v>354473</v>
      </c>
      <c r="J74" s="56">
        <f t="shared" si="27"/>
        <v>195295</v>
      </c>
      <c r="K74" s="56">
        <f t="shared" si="27"/>
        <v>59853</v>
      </c>
      <c r="L74" s="56">
        <f t="shared" si="27"/>
        <v>2135006</v>
      </c>
      <c r="M74" s="56">
        <f t="shared" si="27"/>
        <v>93191</v>
      </c>
      <c r="N74" s="56">
        <f t="shared" si="27"/>
        <v>232690</v>
      </c>
      <c r="O74" s="56">
        <f t="shared" si="27"/>
        <v>62572</v>
      </c>
      <c r="P74" s="56">
        <f t="shared" si="27"/>
        <v>37340</v>
      </c>
      <c r="Q74" s="56">
        <f t="shared" si="27"/>
        <v>5850335</v>
      </c>
      <c r="R74" s="56">
        <f t="shared" si="27"/>
        <v>83830</v>
      </c>
      <c r="S74" s="56">
        <f t="shared" si="27"/>
        <v>83433</v>
      </c>
      <c r="T74" s="56">
        <f t="shared" si="27"/>
        <v>666271</v>
      </c>
      <c r="U74" s="56">
        <f t="shared" si="27"/>
        <v>833534</v>
      </c>
      <c r="V74" s="56">
        <f t="shared" si="27"/>
        <v>6683869</v>
      </c>
    </row>
    <row r="75" spans="1:22">
      <c r="A75" s="217">
        <v>2023</v>
      </c>
      <c r="B75" s="31" t="s">
        <v>5</v>
      </c>
      <c r="C75" s="55"/>
      <c r="D75" s="55"/>
      <c r="E75" s="55">
        <v>805845</v>
      </c>
      <c r="F75" s="55">
        <v>4637</v>
      </c>
      <c r="G75" s="55"/>
      <c r="H75" s="55">
        <v>1652678</v>
      </c>
      <c r="I75" s="55">
        <v>358792</v>
      </c>
      <c r="J75" s="55">
        <v>178525</v>
      </c>
      <c r="K75" s="55">
        <f>66442-4637</f>
        <v>61805</v>
      </c>
      <c r="L75" s="55">
        <v>2272701</v>
      </c>
      <c r="M75" s="55">
        <v>96877</v>
      </c>
      <c r="N75" s="55">
        <v>219471</v>
      </c>
      <c r="O75" s="55">
        <v>63308</v>
      </c>
      <c r="P75" s="55">
        <v>68788</v>
      </c>
      <c r="Q75" s="55">
        <f>SUM(C75:P75)</f>
        <v>5783427</v>
      </c>
      <c r="R75" s="199">
        <v>337568</v>
      </c>
      <c r="S75" s="55">
        <v>91378</v>
      </c>
      <c r="T75" s="199">
        <v>101402</v>
      </c>
      <c r="U75" s="55">
        <f>SUM(R75:T75)</f>
        <v>530348</v>
      </c>
      <c r="V75" s="55">
        <f>Q75+U75</f>
        <v>6313775</v>
      </c>
    </row>
    <row r="76" spans="1:22" ht="28.5">
      <c r="A76" s="218"/>
      <c r="B76" s="3" t="s">
        <v>16</v>
      </c>
      <c r="C76" s="55">
        <v>63375</v>
      </c>
      <c r="D76" s="55">
        <v>55591</v>
      </c>
      <c r="E76" s="51"/>
      <c r="F76" s="54"/>
      <c r="G76" s="55">
        <v>72256</v>
      </c>
      <c r="H76" s="55">
        <v>46694</v>
      </c>
      <c r="I76" s="49"/>
      <c r="J76" s="55">
        <v>470</v>
      </c>
      <c r="K76" s="55">
        <f>1693+3376+486</f>
        <v>5555</v>
      </c>
      <c r="L76" s="55">
        <v>4907</v>
      </c>
      <c r="M76" s="51"/>
      <c r="N76" s="55">
        <v>32280</v>
      </c>
      <c r="O76" s="51">
        <v>875</v>
      </c>
      <c r="P76" s="55">
        <v>3389</v>
      </c>
      <c r="Q76" s="55">
        <f>SUM(C76:P76)</f>
        <v>285392</v>
      </c>
      <c r="R76" s="200">
        <v>10161</v>
      </c>
      <c r="S76" s="200"/>
      <c r="T76" s="200"/>
      <c r="U76" s="55">
        <f>SUM(R76:T76)</f>
        <v>10161</v>
      </c>
      <c r="V76" s="55">
        <f>Q76+U76</f>
        <v>295553</v>
      </c>
    </row>
    <row r="77" spans="1:22">
      <c r="A77" s="219"/>
      <c r="B77" s="32" t="s">
        <v>1</v>
      </c>
      <c r="C77" s="56">
        <f t="shared" ref="C77:R77" si="28">SUM(C75:C76)</f>
        <v>63375</v>
      </c>
      <c r="D77" s="56">
        <f t="shared" si="28"/>
        <v>55591</v>
      </c>
      <c r="E77" s="56">
        <f t="shared" si="28"/>
        <v>805845</v>
      </c>
      <c r="F77" s="56">
        <f t="shared" si="28"/>
        <v>4637</v>
      </c>
      <c r="G77" s="56">
        <f t="shared" si="28"/>
        <v>72256</v>
      </c>
      <c r="H77" s="56">
        <f t="shared" si="28"/>
        <v>1699372</v>
      </c>
      <c r="I77" s="56">
        <f t="shared" si="28"/>
        <v>358792</v>
      </c>
      <c r="J77" s="56">
        <f t="shared" si="28"/>
        <v>178995</v>
      </c>
      <c r="K77" s="56">
        <f t="shared" si="28"/>
        <v>67360</v>
      </c>
      <c r="L77" s="56">
        <f t="shared" si="28"/>
        <v>2277608</v>
      </c>
      <c r="M77" s="56">
        <f t="shared" si="28"/>
        <v>96877</v>
      </c>
      <c r="N77" s="56">
        <f t="shared" si="28"/>
        <v>251751</v>
      </c>
      <c r="O77" s="56">
        <f t="shared" si="28"/>
        <v>64183</v>
      </c>
      <c r="P77" s="56">
        <f t="shared" si="28"/>
        <v>72177</v>
      </c>
      <c r="Q77" s="56">
        <f t="shared" si="28"/>
        <v>6068819</v>
      </c>
      <c r="R77" s="56">
        <f t="shared" si="28"/>
        <v>347729</v>
      </c>
      <c r="S77" s="56">
        <f>SUM(S75:S76)</f>
        <v>91378</v>
      </c>
      <c r="T77" s="56">
        <f t="shared" ref="T77:V77" si="29">SUM(T75:T76)</f>
        <v>101402</v>
      </c>
      <c r="U77" s="56">
        <f t="shared" si="29"/>
        <v>540509</v>
      </c>
      <c r="V77" s="56">
        <f t="shared" si="29"/>
        <v>6609328</v>
      </c>
    </row>
    <row r="78" spans="1:22">
      <c r="A78" s="217">
        <v>2024</v>
      </c>
      <c r="B78" s="31" t="s">
        <v>5</v>
      </c>
      <c r="C78" s="55"/>
      <c r="D78" s="55"/>
      <c r="E78" s="55">
        <v>780780</v>
      </c>
      <c r="F78" s="55">
        <v>7193</v>
      </c>
      <c r="G78" s="55"/>
      <c r="H78" s="55">
        <v>1830264</v>
      </c>
      <c r="I78" s="55">
        <v>371617</v>
      </c>
      <c r="J78" s="55">
        <v>275219</v>
      </c>
      <c r="K78" s="55">
        <v>69476</v>
      </c>
      <c r="L78" s="55">
        <v>2373273</v>
      </c>
      <c r="M78" s="55">
        <v>128537</v>
      </c>
      <c r="N78" s="55">
        <v>259919</v>
      </c>
      <c r="O78" s="55">
        <v>70875</v>
      </c>
      <c r="P78" s="55">
        <v>89733</v>
      </c>
      <c r="Q78" s="55">
        <f>SUM(C78:P78)</f>
        <v>6256886</v>
      </c>
      <c r="R78" s="199">
        <v>831352</v>
      </c>
      <c r="S78" s="55">
        <v>89169</v>
      </c>
      <c r="T78" s="199">
        <v>90181</v>
      </c>
      <c r="U78" s="55">
        <f>SUM(R78:T78)</f>
        <v>1010702</v>
      </c>
      <c r="V78" s="55">
        <f>Q78+U78</f>
        <v>7267588</v>
      </c>
    </row>
    <row r="79" spans="1:22" ht="28.5">
      <c r="A79" s="218"/>
      <c r="B79" s="3" t="s">
        <v>16</v>
      </c>
      <c r="C79" s="55">
        <v>53274</v>
      </c>
      <c r="D79" s="55">
        <v>53661</v>
      </c>
      <c r="E79" s="51"/>
      <c r="F79" s="54"/>
      <c r="G79" s="55">
        <v>59384</v>
      </c>
      <c r="H79" s="55">
        <v>47456</v>
      </c>
      <c r="I79" s="49"/>
      <c r="J79" s="55">
        <v>1350</v>
      </c>
      <c r="K79" s="55">
        <v>1997</v>
      </c>
      <c r="L79" s="55">
        <v>1629</v>
      </c>
      <c r="M79" s="51"/>
      <c r="N79" s="55">
        <v>10375</v>
      </c>
      <c r="O79" s="51">
        <v>827</v>
      </c>
      <c r="P79" s="55">
        <v>3948</v>
      </c>
      <c r="Q79" s="55">
        <f>SUM(C79:P79)</f>
        <v>233901</v>
      </c>
      <c r="R79" s="200">
        <v>22555</v>
      </c>
      <c r="S79" s="200"/>
      <c r="T79" s="200"/>
      <c r="U79" s="55">
        <f>SUM(R79:T79)</f>
        <v>22555</v>
      </c>
      <c r="V79" s="55">
        <f>Q79+U79</f>
        <v>256456</v>
      </c>
    </row>
    <row r="80" spans="1:22">
      <c r="A80" s="219"/>
      <c r="B80" s="32" t="s">
        <v>1</v>
      </c>
      <c r="C80" s="56">
        <f t="shared" ref="C80:V80" si="30">SUM(C78:C79)</f>
        <v>53274</v>
      </c>
      <c r="D80" s="56">
        <f t="shared" si="30"/>
        <v>53661</v>
      </c>
      <c r="E80" s="56">
        <f t="shared" si="30"/>
        <v>780780</v>
      </c>
      <c r="F80" s="56">
        <f t="shared" si="30"/>
        <v>7193</v>
      </c>
      <c r="G80" s="56">
        <f t="shared" si="30"/>
        <v>59384</v>
      </c>
      <c r="H80" s="56">
        <f t="shared" si="30"/>
        <v>1877720</v>
      </c>
      <c r="I80" s="56">
        <f t="shared" si="30"/>
        <v>371617</v>
      </c>
      <c r="J80" s="56">
        <f t="shared" si="30"/>
        <v>276569</v>
      </c>
      <c r="K80" s="56">
        <f t="shared" si="30"/>
        <v>71473</v>
      </c>
      <c r="L80" s="56">
        <f t="shared" si="30"/>
        <v>2374902</v>
      </c>
      <c r="M80" s="56">
        <f t="shared" si="30"/>
        <v>128537</v>
      </c>
      <c r="N80" s="56">
        <f t="shared" si="30"/>
        <v>270294</v>
      </c>
      <c r="O80" s="56">
        <f t="shared" si="30"/>
        <v>71702</v>
      </c>
      <c r="P80" s="56">
        <f t="shared" si="30"/>
        <v>93681</v>
      </c>
      <c r="Q80" s="56">
        <f t="shared" si="30"/>
        <v>6490787</v>
      </c>
      <c r="R80" s="56">
        <f t="shared" si="30"/>
        <v>853907</v>
      </c>
      <c r="S80" s="56">
        <f>SUM(S78:S79)</f>
        <v>89169</v>
      </c>
      <c r="T80" s="56">
        <f t="shared" si="30"/>
        <v>90181</v>
      </c>
      <c r="U80" s="56">
        <f t="shared" si="30"/>
        <v>1033257</v>
      </c>
      <c r="V80" s="56">
        <f t="shared" si="30"/>
        <v>7524044</v>
      </c>
    </row>
    <row r="83" spans="1:20" ht="17.25" customHeight="1">
      <c r="A83" s="216" t="s">
        <v>166</v>
      </c>
      <c r="B83" s="216"/>
      <c r="C83" s="216"/>
      <c r="D83" s="216"/>
      <c r="E83" s="216"/>
      <c r="F83" s="216"/>
      <c r="G83" s="216"/>
      <c r="H83" s="216"/>
      <c r="I83" s="216"/>
      <c r="J83" s="216"/>
      <c r="K83" s="216"/>
      <c r="L83" s="216"/>
      <c r="M83" s="216"/>
    </row>
    <row r="84" spans="1:20" ht="39.75" customHeight="1">
      <c r="A84" s="216"/>
      <c r="B84" s="216"/>
      <c r="C84" s="216"/>
      <c r="D84" s="216"/>
      <c r="E84" s="216"/>
      <c r="F84" s="216"/>
      <c r="G84" s="216"/>
      <c r="H84" s="216"/>
      <c r="I84" s="216"/>
      <c r="J84" s="216"/>
      <c r="K84" s="216"/>
      <c r="L84" s="216"/>
      <c r="M84" s="216"/>
    </row>
    <row r="86" spans="1:20">
      <c r="L86" s="178"/>
      <c r="S86" s="178"/>
      <c r="T86" s="178"/>
    </row>
  </sheetData>
  <mergeCells count="50">
    <mergeCell ref="A1:R1"/>
    <mergeCell ref="A3:A5"/>
    <mergeCell ref="R3:U3"/>
    <mergeCell ref="N4:N5"/>
    <mergeCell ref="O4:O5"/>
    <mergeCell ref="V3:V5"/>
    <mergeCell ref="C4:C5"/>
    <mergeCell ref="D4:D5"/>
    <mergeCell ref="E4:E5"/>
    <mergeCell ref="F4:F5"/>
    <mergeCell ref="M4:M5"/>
    <mergeCell ref="T4:T5"/>
    <mergeCell ref="G4:G5"/>
    <mergeCell ref="R4:R5"/>
    <mergeCell ref="C3:Q3"/>
    <mergeCell ref="S4:S5"/>
    <mergeCell ref="U4:U5"/>
    <mergeCell ref="Q4:Q5"/>
    <mergeCell ref="A6:A8"/>
    <mergeCell ref="I4:J4"/>
    <mergeCell ref="K4:K5"/>
    <mergeCell ref="P4:P5"/>
    <mergeCell ref="A33:A35"/>
    <mergeCell ref="A15:A17"/>
    <mergeCell ref="A18:A20"/>
    <mergeCell ref="L4:L5"/>
    <mergeCell ref="B3:B5"/>
    <mergeCell ref="A9:A11"/>
    <mergeCell ref="A12:A14"/>
    <mergeCell ref="H4:H5"/>
    <mergeCell ref="A39:A41"/>
    <mergeCell ref="A36:A38"/>
    <mergeCell ref="A21:A23"/>
    <mergeCell ref="A24:A26"/>
    <mergeCell ref="A27:A29"/>
    <mergeCell ref="A30:A32"/>
    <mergeCell ref="A83:M84"/>
    <mergeCell ref="A54:A56"/>
    <mergeCell ref="A51:A53"/>
    <mergeCell ref="A48:A50"/>
    <mergeCell ref="A42:A44"/>
    <mergeCell ref="A45:A47"/>
    <mergeCell ref="A57:A59"/>
    <mergeCell ref="A60:A62"/>
    <mergeCell ref="A63:A65"/>
    <mergeCell ref="A66:A68"/>
    <mergeCell ref="A69:A71"/>
    <mergeCell ref="A72:A74"/>
    <mergeCell ref="A78:A80"/>
    <mergeCell ref="A75:A77"/>
  </mergeCells>
  <phoneticPr fontId="2" type="noConversion"/>
  <printOptions horizontalCentered="1"/>
  <pageMargins left="0.35433070866141736" right="0.35433070866141736" top="0.19685039370078741" bottom="0.19685039370078741" header="0.51181102362204722" footer="0.51181102362204722"/>
  <pageSetup paperSize="8" scale="4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N79"/>
  <sheetViews>
    <sheetView view="pageBreakPreview" zoomScaleNormal="100" zoomScaleSheetLayoutView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N10" sqref="N10"/>
    </sheetView>
  </sheetViews>
  <sheetFormatPr defaultColWidth="9" defaultRowHeight="15.75"/>
  <cols>
    <col min="1" max="1" width="7.375" style="34" customWidth="1"/>
    <col min="2" max="2" width="9" style="34"/>
    <col min="3" max="3" width="9.125" style="33" bestFit="1" customWidth="1"/>
    <col min="4" max="4" width="9.875" style="33" bestFit="1" customWidth="1"/>
    <col min="5" max="7" width="11.375" style="33" bestFit="1" customWidth="1"/>
    <col min="8" max="8" width="8.25" style="33" bestFit="1" customWidth="1"/>
    <col min="9" max="9" width="11.375" style="33" bestFit="1" customWidth="1"/>
    <col min="10" max="10" width="7" style="33" bestFit="1" customWidth="1"/>
    <col min="11" max="13" width="11.375" style="33" bestFit="1" customWidth="1"/>
    <col min="14" max="14" width="8.75" style="33" bestFit="1" customWidth="1"/>
    <col min="15" max="15" width="9.125" style="33" bestFit="1" customWidth="1"/>
    <col min="16" max="16" width="9.875" style="33" bestFit="1" customWidth="1"/>
    <col min="17" max="17" width="10.75" style="33" bestFit="1" customWidth="1"/>
    <col min="18" max="18" width="9.625" style="33" customWidth="1"/>
    <col min="19" max="21" width="9.875" style="33" bestFit="1" customWidth="1"/>
    <col min="22" max="22" width="13.375" style="33" customWidth="1"/>
    <col min="23" max="23" width="9.125" style="33" bestFit="1" customWidth="1"/>
    <col min="24" max="25" width="8.25" style="33" bestFit="1" customWidth="1"/>
    <col min="26" max="26" width="9.125" style="33" bestFit="1" customWidth="1"/>
    <col min="27" max="27" width="10.75" style="33" bestFit="1" customWidth="1"/>
    <col min="28" max="28" width="11" style="34" bestFit="1" customWidth="1"/>
    <col min="29" max="16384" width="9" style="34"/>
  </cols>
  <sheetData>
    <row r="1" spans="1:40" ht="19.5">
      <c r="A1" s="236" t="s">
        <v>199</v>
      </c>
      <c r="B1" s="236"/>
      <c r="C1" s="236"/>
      <c r="D1" s="236"/>
      <c r="E1" s="236"/>
      <c r="F1" s="236"/>
      <c r="G1" s="236"/>
      <c r="H1" s="236"/>
      <c r="I1" s="236"/>
      <c r="J1" s="236"/>
      <c r="K1" s="236"/>
      <c r="L1" s="236"/>
      <c r="M1" s="236"/>
      <c r="N1" s="236"/>
      <c r="O1" s="236"/>
      <c r="P1" s="236"/>
      <c r="Q1" s="236"/>
      <c r="R1" s="236"/>
      <c r="S1" s="236"/>
      <c r="T1" s="236"/>
      <c r="U1" s="236"/>
      <c r="V1" s="236"/>
      <c r="W1" s="236"/>
      <c r="X1" s="236"/>
      <c r="Y1" s="236"/>
      <c r="Z1" s="236"/>
      <c r="AA1" s="236"/>
      <c r="AB1" s="236"/>
      <c r="AC1" s="59"/>
      <c r="AD1" s="59"/>
      <c r="AE1" s="59"/>
      <c r="AF1" s="59"/>
      <c r="AG1" s="59"/>
      <c r="AH1" s="59"/>
      <c r="AI1" s="59"/>
      <c r="AJ1" s="59"/>
      <c r="AK1" s="59"/>
      <c r="AL1" s="59"/>
      <c r="AM1" s="59"/>
      <c r="AN1" s="59"/>
    </row>
    <row r="2" spans="1:40" ht="18.75" customHeight="1">
      <c r="A2" s="35"/>
      <c r="Z2" s="147" t="s">
        <v>67</v>
      </c>
      <c r="AA2" s="147"/>
      <c r="AB2" s="20" t="s">
        <v>43</v>
      </c>
    </row>
    <row r="3" spans="1:40" ht="24" customHeight="1">
      <c r="A3" s="291" t="s">
        <v>29</v>
      </c>
      <c r="B3" s="291" t="s">
        <v>0</v>
      </c>
      <c r="C3" s="292" t="s">
        <v>3</v>
      </c>
      <c r="D3" s="293"/>
      <c r="E3" s="293"/>
      <c r="F3" s="293"/>
      <c r="G3" s="293"/>
      <c r="H3" s="293"/>
      <c r="I3" s="293"/>
      <c r="J3" s="293"/>
      <c r="K3" s="293"/>
      <c r="L3" s="293"/>
      <c r="M3" s="293"/>
      <c r="N3" s="293"/>
      <c r="O3" s="293"/>
      <c r="P3" s="293"/>
      <c r="Q3" s="293"/>
      <c r="R3" s="239" t="s">
        <v>4</v>
      </c>
      <c r="S3" s="240"/>
      <c r="T3" s="240"/>
      <c r="U3" s="240"/>
      <c r="V3" s="240"/>
      <c r="W3" s="240"/>
      <c r="X3" s="240"/>
      <c r="Y3" s="240"/>
      <c r="Z3" s="240"/>
      <c r="AA3" s="241"/>
      <c r="AB3" s="237" t="s">
        <v>19</v>
      </c>
    </row>
    <row r="4" spans="1:40" s="41" customFormat="1" ht="28.5">
      <c r="A4" s="238"/>
      <c r="B4" s="238"/>
      <c r="C4" s="38" t="s">
        <v>68</v>
      </c>
      <c r="D4" s="38" t="s">
        <v>133</v>
      </c>
      <c r="E4" s="38" t="s">
        <v>69</v>
      </c>
      <c r="F4" s="38" t="s">
        <v>70</v>
      </c>
      <c r="G4" s="38" t="s">
        <v>71</v>
      </c>
      <c r="H4" s="38" t="s">
        <v>72</v>
      </c>
      <c r="I4" s="38" t="s">
        <v>73</v>
      </c>
      <c r="J4" s="38" t="s">
        <v>101</v>
      </c>
      <c r="K4" s="38" t="s">
        <v>74</v>
      </c>
      <c r="L4" s="38" t="s">
        <v>75</v>
      </c>
      <c r="M4" s="38" t="s">
        <v>76</v>
      </c>
      <c r="N4" s="39" t="s">
        <v>77</v>
      </c>
      <c r="O4" s="38" t="s">
        <v>78</v>
      </c>
      <c r="P4" s="38" t="s">
        <v>111</v>
      </c>
      <c r="Q4" s="39" t="s">
        <v>1</v>
      </c>
      <c r="R4" s="39" t="s">
        <v>79</v>
      </c>
      <c r="S4" s="38" t="s">
        <v>80</v>
      </c>
      <c r="T4" s="38" t="s">
        <v>81</v>
      </c>
      <c r="U4" s="38" t="s">
        <v>82</v>
      </c>
      <c r="V4" s="38" t="s">
        <v>83</v>
      </c>
      <c r="W4" s="38" t="s">
        <v>84</v>
      </c>
      <c r="X4" s="38" t="s">
        <v>87</v>
      </c>
      <c r="Y4" s="38" t="s">
        <v>85</v>
      </c>
      <c r="Z4" s="38" t="s">
        <v>86</v>
      </c>
      <c r="AA4" s="38" t="s">
        <v>1</v>
      </c>
      <c r="AB4" s="238"/>
    </row>
    <row r="5" spans="1:40" ht="18" customHeight="1">
      <c r="A5" s="220">
        <v>2001</v>
      </c>
      <c r="B5" s="31" t="s">
        <v>5</v>
      </c>
      <c r="C5" s="37"/>
      <c r="D5" s="37"/>
      <c r="E5" s="37">
        <v>1631551</v>
      </c>
      <c r="F5" s="37">
        <v>893680</v>
      </c>
      <c r="G5" s="37">
        <v>25225</v>
      </c>
      <c r="H5" s="37"/>
      <c r="I5" s="37">
        <v>138766</v>
      </c>
      <c r="J5" s="37"/>
      <c r="K5" s="37">
        <v>167546</v>
      </c>
      <c r="L5" s="37">
        <v>7222</v>
      </c>
      <c r="M5" s="37"/>
      <c r="N5" s="37"/>
      <c r="O5" s="37">
        <v>45478</v>
      </c>
      <c r="P5" s="37"/>
      <c r="Q5" s="37">
        <f>SUM(C5:O5)</f>
        <v>2909468</v>
      </c>
      <c r="R5" s="37">
        <v>882</v>
      </c>
      <c r="S5" s="37">
        <v>8419</v>
      </c>
      <c r="T5" s="37">
        <v>104506</v>
      </c>
      <c r="U5" s="37">
        <v>136506</v>
      </c>
      <c r="V5" s="37">
        <v>5279</v>
      </c>
      <c r="W5" s="37">
        <v>54313</v>
      </c>
      <c r="X5" s="37"/>
      <c r="Y5" s="37">
        <v>4424</v>
      </c>
      <c r="Z5" s="37"/>
      <c r="AA5" s="37">
        <f>SUM(R5:Z5)</f>
        <v>314329</v>
      </c>
      <c r="AB5" s="55">
        <f>Q5+AA5</f>
        <v>3223797</v>
      </c>
      <c r="AC5" s="42"/>
    </row>
    <row r="6" spans="1:40" ht="28.5">
      <c r="A6" s="218"/>
      <c r="B6" s="3" t="s">
        <v>16</v>
      </c>
      <c r="C6" s="37">
        <v>26952</v>
      </c>
      <c r="D6" s="37">
        <v>26820</v>
      </c>
      <c r="E6" s="57"/>
      <c r="F6" s="37">
        <v>11354</v>
      </c>
      <c r="G6" s="57"/>
      <c r="H6" s="37">
        <v>14291</v>
      </c>
      <c r="I6" s="57"/>
      <c r="J6" s="57"/>
      <c r="K6" s="37">
        <v>2228</v>
      </c>
      <c r="L6" s="37">
        <v>21477</v>
      </c>
      <c r="N6" s="57"/>
      <c r="O6" s="37">
        <v>24</v>
      </c>
      <c r="P6" s="37"/>
      <c r="Q6" s="55">
        <f t="shared" ref="Q6:Q39" si="0">SUM(C6:O6)</f>
        <v>103146</v>
      </c>
      <c r="R6" s="55"/>
      <c r="S6" s="55">
        <v>18169</v>
      </c>
      <c r="T6" s="55">
        <v>2970</v>
      </c>
      <c r="U6" s="55">
        <v>2056</v>
      </c>
      <c r="V6" s="55">
        <v>1899</v>
      </c>
      <c r="W6" s="55">
        <v>314</v>
      </c>
      <c r="X6" s="55">
        <v>40</v>
      </c>
      <c r="Y6" s="55"/>
      <c r="Z6" s="55"/>
      <c r="AA6" s="55">
        <f t="shared" ref="AA6:AA39" si="1">SUM(R6:Z6)</f>
        <v>25448</v>
      </c>
      <c r="AB6" s="55">
        <f t="shared" ref="AB6:AB39" si="2">Q6+AA6</f>
        <v>128594</v>
      </c>
      <c r="AC6" s="42"/>
    </row>
    <row r="7" spans="1:40">
      <c r="A7" s="219"/>
      <c r="B7" s="40" t="s">
        <v>1</v>
      </c>
      <c r="C7" s="43">
        <f>SUM(C5:C6)</f>
        <v>26952</v>
      </c>
      <c r="D7" s="43">
        <f t="shared" ref="D7:AB7" si="3">SUM(D5:D6)</f>
        <v>26820</v>
      </c>
      <c r="E7" s="43">
        <f t="shared" si="3"/>
        <v>1631551</v>
      </c>
      <c r="F7" s="43">
        <f t="shared" si="3"/>
        <v>905034</v>
      </c>
      <c r="G7" s="43">
        <f t="shared" si="3"/>
        <v>25225</v>
      </c>
      <c r="H7" s="43">
        <f t="shared" si="3"/>
        <v>14291</v>
      </c>
      <c r="I7" s="43">
        <f t="shared" si="3"/>
        <v>138766</v>
      </c>
      <c r="J7" s="43">
        <f t="shared" si="3"/>
        <v>0</v>
      </c>
      <c r="K7" s="43">
        <f>SUM(K5:K6)</f>
        <v>169774</v>
      </c>
      <c r="L7" s="43">
        <f>SUM(L5:L6)</f>
        <v>28699</v>
      </c>
      <c r="M7" s="43">
        <f t="shared" si="3"/>
        <v>0</v>
      </c>
      <c r="N7" s="43">
        <f t="shared" si="3"/>
        <v>0</v>
      </c>
      <c r="O7" s="43">
        <f t="shared" si="3"/>
        <v>45502</v>
      </c>
      <c r="P7" s="43"/>
      <c r="Q7" s="43">
        <f>SUM(Q5:Q6)</f>
        <v>3012614</v>
      </c>
      <c r="R7" s="43">
        <f t="shared" si="3"/>
        <v>882</v>
      </c>
      <c r="S7" s="43">
        <f t="shared" si="3"/>
        <v>26588</v>
      </c>
      <c r="T7" s="43">
        <f t="shared" si="3"/>
        <v>107476</v>
      </c>
      <c r="U7" s="43">
        <f t="shared" si="3"/>
        <v>138562</v>
      </c>
      <c r="V7" s="43">
        <f t="shared" si="3"/>
        <v>7178</v>
      </c>
      <c r="W7" s="43">
        <f>SUM(W5:W6)</f>
        <v>54627</v>
      </c>
      <c r="X7" s="43">
        <f>SUM(X5:X6)</f>
        <v>40</v>
      </c>
      <c r="Y7" s="43">
        <f t="shared" si="3"/>
        <v>4424</v>
      </c>
      <c r="Z7" s="43">
        <f t="shared" si="3"/>
        <v>0</v>
      </c>
      <c r="AA7" s="43">
        <f t="shared" si="3"/>
        <v>339777</v>
      </c>
      <c r="AB7" s="43">
        <f t="shared" si="3"/>
        <v>3352391</v>
      </c>
      <c r="AC7" s="42"/>
    </row>
    <row r="8" spans="1:40" ht="18" customHeight="1">
      <c r="A8" s="220">
        <v>2002</v>
      </c>
      <c r="B8" s="31" t="s">
        <v>5</v>
      </c>
      <c r="C8" s="37"/>
      <c r="D8" s="37"/>
      <c r="E8" s="37">
        <v>1602731</v>
      </c>
      <c r="F8" s="37">
        <v>937733</v>
      </c>
      <c r="G8" s="37">
        <v>30050</v>
      </c>
      <c r="H8" s="37"/>
      <c r="I8" s="37">
        <v>136666</v>
      </c>
      <c r="J8" s="37"/>
      <c r="K8" s="37">
        <v>195698</v>
      </c>
      <c r="L8" s="37">
        <v>12919</v>
      </c>
      <c r="M8" s="37"/>
      <c r="N8" s="37">
        <v>15</v>
      </c>
      <c r="O8" s="37">
        <v>52229</v>
      </c>
      <c r="P8" s="37"/>
      <c r="Q8" s="37">
        <f t="shared" si="0"/>
        <v>2968041</v>
      </c>
      <c r="R8" s="37"/>
      <c r="S8" s="37">
        <v>2270</v>
      </c>
      <c r="T8" s="37">
        <v>145668</v>
      </c>
      <c r="U8" s="37">
        <v>171702</v>
      </c>
      <c r="V8" s="37">
        <v>3472</v>
      </c>
      <c r="W8" s="37">
        <v>47663</v>
      </c>
      <c r="X8" s="37"/>
      <c r="Y8" s="37">
        <v>9929</v>
      </c>
      <c r="Z8" s="37"/>
      <c r="AA8" s="37">
        <f t="shared" si="1"/>
        <v>380704</v>
      </c>
      <c r="AB8" s="55">
        <f t="shared" si="2"/>
        <v>3348745</v>
      </c>
      <c r="AC8" s="42"/>
    </row>
    <row r="9" spans="1:40" ht="28.5">
      <c r="A9" s="218"/>
      <c r="B9" s="3" t="s">
        <v>16</v>
      </c>
      <c r="C9" s="37">
        <v>39786</v>
      </c>
      <c r="D9" s="37">
        <v>35036</v>
      </c>
      <c r="E9" s="57"/>
      <c r="F9" s="37">
        <v>6609</v>
      </c>
      <c r="G9" s="57"/>
      <c r="H9" s="37">
        <v>16060</v>
      </c>
      <c r="I9" s="57"/>
      <c r="J9" s="57"/>
      <c r="K9" s="37">
        <v>2382</v>
      </c>
      <c r="L9" s="37">
        <v>23804</v>
      </c>
      <c r="N9" s="57"/>
      <c r="O9" s="37">
        <v>88</v>
      </c>
      <c r="P9" s="37"/>
      <c r="Q9" s="37">
        <f t="shared" si="0"/>
        <v>123765</v>
      </c>
      <c r="R9" s="58"/>
      <c r="S9" s="57">
        <v>32432</v>
      </c>
      <c r="T9" s="55">
        <v>17888</v>
      </c>
      <c r="U9" s="55">
        <v>3684</v>
      </c>
      <c r="V9" s="55">
        <v>723</v>
      </c>
      <c r="W9" s="55">
        <v>576</v>
      </c>
      <c r="X9" s="55"/>
      <c r="Y9" s="55"/>
      <c r="Z9" s="58"/>
      <c r="AA9" s="37">
        <f t="shared" si="1"/>
        <v>55303</v>
      </c>
      <c r="AB9" s="55">
        <f t="shared" si="2"/>
        <v>179068</v>
      </c>
      <c r="AC9" s="42"/>
    </row>
    <row r="10" spans="1:40">
      <c r="A10" s="219"/>
      <c r="B10" s="40" t="s">
        <v>1</v>
      </c>
      <c r="C10" s="43">
        <f>SUM(C8:C9)</f>
        <v>39786</v>
      </c>
      <c r="D10" s="43">
        <f t="shared" ref="D10:AB10" si="4">SUM(D8:D9)</f>
        <v>35036</v>
      </c>
      <c r="E10" s="43">
        <f t="shared" si="4"/>
        <v>1602731</v>
      </c>
      <c r="F10" s="43">
        <f t="shared" si="4"/>
        <v>944342</v>
      </c>
      <c r="G10" s="43">
        <f t="shared" si="4"/>
        <v>30050</v>
      </c>
      <c r="H10" s="43">
        <f t="shared" si="4"/>
        <v>16060</v>
      </c>
      <c r="I10" s="43">
        <f t="shared" si="4"/>
        <v>136666</v>
      </c>
      <c r="J10" s="43">
        <f t="shared" si="4"/>
        <v>0</v>
      </c>
      <c r="K10" s="43">
        <f>SUM(K8:K9)</f>
        <v>198080</v>
      </c>
      <c r="L10" s="43">
        <f>SUM(L8:L9)</f>
        <v>36723</v>
      </c>
      <c r="M10" s="43">
        <f t="shared" si="4"/>
        <v>0</v>
      </c>
      <c r="N10" s="43">
        <f t="shared" si="4"/>
        <v>15</v>
      </c>
      <c r="O10" s="43">
        <f t="shared" si="4"/>
        <v>52317</v>
      </c>
      <c r="P10" s="43"/>
      <c r="Q10" s="43">
        <f t="shared" si="4"/>
        <v>3091806</v>
      </c>
      <c r="R10" s="43">
        <f t="shared" si="4"/>
        <v>0</v>
      </c>
      <c r="S10" s="43">
        <f t="shared" si="4"/>
        <v>34702</v>
      </c>
      <c r="T10" s="43">
        <f t="shared" si="4"/>
        <v>163556</v>
      </c>
      <c r="U10" s="43">
        <f t="shared" si="4"/>
        <v>175386</v>
      </c>
      <c r="V10" s="43">
        <f t="shared" si="4"/>
        <v>4195</v>
      </c>
      <c r="W10" s="43">
        <f t="shared" si="4"/>
        <v>48239</v>
      </c>
      <c r="X10" s="43">
        <f t="shared" si="4"/>
        <v>0</v>
      </c>
      <c r="Y10" s="43">
        <f t="shared" si="4"/>
        <v>9929</v>
      </c>
      <c r="Z10" s="43">
        <f t="shared" si="4"/>
        <v>0</v>
      </c>
      <c r="AA10" s="43">
        <f t="shared" si="4"/>
        <v>436007</v>
      </c>
      <c r="AB10" s="43">
        <f t="shared" si="4"/>
        <v>3527813</v>
      </c>
      <c r="AC10" s="42"/>
    </row>
    <row r="11" spans="1:40" ht="18" customHeight="1">
      <c r="A11" s="220">
        <v>2003</v>
      </c>
      <c r="B11" s="31" t="s">
        <v>5</v>
      </c>
      <c r="C11" s="37"/>
      <c r="D11" s="37"/>
      <c r="E11" s="37">
        <v>1658273</v>
      </c>
      <c r="F11" s="37">
        <v>1104551</v>
      </c>
      <c r="G11" s="37">
        <v>37701</v>
      </c>
      <c r="H11" s="37"/>
      <c r="I11" s="37">
        <v>142456</v>
      </c>
      <c r="J11" s="37"/>
      <c r="K11" s="37">
        <v>198300</v>
      </c>
      <c r="L11" s="37">
        <v>31472</v>
      </c>
      <c r="M11" s="37"/>
      <c r="N11" s="37"/>
      <c r="O11" s="37">
        <v>41765</v>
      </c>
      <c r="P11" s="37"/>
      <c r="Q11" s="37">
        <f t="shared" si="0"/>
        <v>3214518</v>
      </c>
      <c r="R11" s="37"/>
      <c r="S11" s="37">
        <v>3609</v>
      </c>
      <c r="T11" s="37">
        <v>565614</v>
      </c>
      <c r="U11" s="37">
        <v>187895</v>
      </c>
      <c r="V11" s="37">
        <v>5131</v>
      </c>
      <c r="W11" s="37">
        <v>51004</v>
      </c>
      <c r="X11" s="37"/>
      <c r="Y11" s="37">
        <v>6287</v>
      </c>
      <c r="Z11" s="37"/>
      <c r="AA11" s="37">
        <f t="shared" si="1"/>
        <v>819540</v>
      </c>
      <c r="AB11" s="55">
        <f t="shared" si="2"/>
        <v>4034058</v>
      </c>
      <c r="AC11" s="42"/>
    </row>
    <row r="12" spans="1:40" ht="28.5">
      <c r="A12" s="218"/>
      <c r="B12" s="3" t="s">
        <v>16</v>
      </c>
      <c r="C12" s="37">
        <v>37073</v>
      </c>
      <c r="D12" s="37">
        <v>35319</v>
      </c>
      <c r="E12" s="57"/>
      <c r="F12" s="37">
        <v>6518</v>
      </c>
      <c r="G12" s="57"/>
      <c r="H12" s="37">
        <v>18694</v>
      </c>
      <c r="I12" s="57"/>
      <c r="J12" s="57"/>
      <c r="K12" s="37">
        <v>2489</v>
      </c>
      <c r="L12" s="37">
        <v>21930</v>
      </c>
      <c r="N12" s="57"/>
      <c r="O12" s="37">
        <v>1036</v>
      </c>
      <c r="P12" s="37"/>
      <c r="Q12" s="37">
        <f t="shared" si="0"/>
        <v>123059</v>
      </c>
      <c r="R12" s="55"/>
      <c r="S12" s="55">
        <v>77424</v>
      </c>
      <c r="T12" s="55">
        <v>6869</v>
      </c>
      <c r="U12" s="55">
        <v>1723</v>
      </c>
      <c r="V12" s="55">
        <v>1670</v>
      </c>
      <c r="W12" s="55">
        <v>424</v>
      </c>
      <c r="X12" s="55"/>
      <c r="Y12" s="55"/>
      <c r="Z12" s="55"/>
      <c r="AA12" s="37">
        <f t="shared" si="1"/>
        <v>88110</v>
      </c>
      <c r="AB12" s="55">
        <f t="shared" si="2"/>
        <v>211169</v>
      </c>
      <c r="AC12" s="42"/>
    </row>
    <row r="13" spans="1:40">
      <c r="A13" s="219"/>
      <c r="B13" s="40" t="s">
        <v>1</v>
      </c>
      <c r="C13" s="43">
        <f>SUM(C11:C12)</f>
        <v>37073</v>
      </c>
      <c r="D13" s="43">
        <f t="shared" ref="D13:AB13" si="5">SUM(D11:D12)</f>
        <v>35319</v>
      </c>
      <c r="E13" s="43">
        <f t="shared" si="5"/>
        <v>1658273</v>
      </c>
      <c r="F13" s="43">
        <f t="shared" si="5"/>
        <v>1111069</v>
      </c>
      <c r="G13" s="43">
        <f t="shared" si="5"/>
        <v>37701</v>
      </c>
      <c r="H13" s="43">
        <f t="shared" si="5"/>
        <v>18694</v>
      </c>
      <c r="I13" s="43">
        <f t="shared" si="5"/>
        <v>142456</v>
      </c>
      <c r="J13" s="43">
        <f t="shared" si="5"/>
        <v>0</v>
      </c>
      <c r="K13" s="43">
        <f>SUM(K11:K12)</f>
        <v>200789</v>
      </c>
      <c r="L13" s="43">
        <f>SUM(L11:L12)</f>
        <v>53402</v>
      </c>
      <c r="M13" s="43">
        <f t="shared" si="5"/>
        <v>0</v>
      </c>
      <c r="N13" s="43">
        <f t="shared" si="5"/>
        <v>0</v>
      </c>
      <c r="O13" s="43">
        <f t="shared" si="5"/>
        <v>42801</v>
      </c>
      <c r="P13" s="43"/>
      <c r="Q13" s="43">
        <f t="shared" si="5"/>
        <v>3337577</v>
      </c>
      <c r="R13" s="43">
        <f t="shared" si="5"/>
        <v>0</v>
      </c>
      <c r="S13" s="43">
        <f t="shared" si="5"/>
        <v>81033</v>
      </c>
      <c r="T13" s="43">
        <f t="shared" si="5"/>
        <v>572483</v>
      </c>
      <c r="U13" s="43">
        <f t="shared" si="5"/>
        <v>189618</v>
      </c>
      <c r="V13" s="43">
        <f t="shared" si="5"/>
        <v>6801</v>
      </c>
      <c r="W13" s="43">
        <f t="shared" si="5"/>
        <v>51428</v>
      </c>
      <c r="X13" s="43">
        <f t="shared" si="5"/>
        <v>0</v>
      </c>
      <c r="Y13" s="43">
        <f t="shared" si="5"/>
        <v>6287</v>
      </c>
      <c r="Z13" s="43">
        <f t="shared" si="5"/>
        <v>0</v>
      </c>
      <c r="AA13" s="43">
        <f t="shared" si="5"/>
        <v>907650</v>
      </c>
      <c r="AB13" s="43">
        <f t="shared" si="5"/>
        <v>4245227</v>
      </c>
      <c r="AC13" s="42"/>
    </row>
    <row r="14" spans="1:40" ht="18" customHeight="1">
      <c r="A14" s="220">
        <v>2004</v>
      </c>
      <c r="B14" s="31" t="s">
        <v>5</v>
      </c>
      <c r="C14" s="37"/>
      <c r="D14" s="37"/>
      <c r="E14" s="37">
        <v>1590762</v>
      </c>
      <c r="F14" s="37">
        <v>1116775</v>
      </c>
      <c r="G14" s="37">
        <v>30312</v>
      </c>
      <c r="H14" s="37"/>
      <c r="I14" s="37">
        <v>137959</v>
      </c>
      <c r="J14" s="37"/>
      <c r="K14" s="37">
        <v>429528</v>
      </c>
      <c r="L14" s="37">
        <v>33384</v>
      </c>
      <c r="M14" s="37"/>
      <c r="N14" s="37">
        <v>182</v>
      </c>
      <c r="O14" s="37">
        <v>55020</v>
      </c>
      <c r="P14" s="37"/>
      <c r="Q14" s="37">
        <f t="shared" si="0"/>
        <v>3393922</v>
      </c>
      <c r="R14" s="37"/>
      <c r="S14" s="37">
        <v>3308</v>
      </c>
      <c r="T14" s="37">
        <v>259516</v>
      </c>
      <c r="U14" s="37">
        <v>185852</v>
      </c>
      <c r="V14" s="37">
        <v>27615</v>
      </c>
      <c r="W14" s="37">
        <v>104927</v>
      </c>
      <c r="X14" s="37"/>
      <c r="Y14" s="37">
        <v>11381</v>
      </c>
      <c r="Z14" s="37"/>
      <c r="AA14" s="37">
        <f t="shared" si="1"/>
        <v>592599</v>
      </c>
      <c r="AB14" s="55">
        <f t="shared" si="2"/>
        <v>3986521</v>
      </c>
      <c r="AC14" s="42"/>
    </row>
    <row r="15" spans="1:40" ht="28.5">
      <c r="A15" s="218"/>
      <c r="B15" s="3" t="s">
        <v>16</v>
      </c>
      <c r="C15" s="37">
        <v>32960</v>
      </c>
      <c r="D15" s="37">
        <v>36553</v>
      </c>
      <c r="E15" s="57"/>
      <c r="F15" s="37"/>
      <c r="G15" s="57"/>
      <c r="H15" s="37">
        <v>22821</v>
      </c>
      <c r="I15" s="101"/>
      <c r="K15" s="37">
        <v>26568</v>
      </c>
      <c r="L15" s="37">
        <v>516</v>
      </c>
      <c r="M15" s="37">
        <v>6465</v>
      </c>
      <c r="N15" s="57"/>
      <c r="O15" s="37">
        <v>253</v>
      </c>
      <c r="P15" s="37"/>
      <c r="Q15" s="37">
        <f t="shared" si="0"/>
        <v>126136</v>
      </c>
      <c r="R15" s="55"/>
      <c r="S15" s="55">
        <v>15913</v>
      </c>
      <c r="T15" s="55">
        <v>59554</v>
      </c>
      <c r="U15" s="55">
        <v>2688</v>
      </c>
      <c r="V15" s="55">
        <v>168</v>
      </c>
      <c r="W15" s="55">
        <v>787</v>
      </c>
      <c r="X15" s="55"/>
      <c r="Y15" s="55"/>
      <c r="Z15" s="55"/>
      <c r="AA15" s="37">
        <f t="shared" si="1"/>
        <v>79110</v>
      </c>
      <c r="AB15" s="55">
        <f t="shared" si="2"/>
        <v>205246</v>
      </c>
      <c r="AC15" s="42"/>
    </row>
    <row r="16" spans="1:40">
      <c r="A16" s="219"/>
      <c r="B16" s="40" t="s">
        <v>1</v>
      </c>
      <c r="C16" s="43">
        <f>SUM(C14:C15)</f>
        <v>32960</v>
      </c>
      <c r="D16" s="43">
        <f t="shared" ref="D16:AB16" si="6">SUM(D14:D15)</f>
        <v>36553</v>
      </c>
      <c r="E16" s="43">
        <f t="shared" si="6"/>
        <v>1590762</v>
      </c>
      <c r="F16" s="43">
        <f t="shared" si="6"/>
        <v>1116775</v>
      </c>
      <c r="G16" s="43">
        <f t="shared" si="6"/>
        <v>30312</v>
      </c>
      <c r="H16" s="43">
        <f t="shared" si="6"/>
        <v>22821</v>
      </c>
      <c r="I16" s="43">
        <f t="shared" si="6"/>
        <v>137959</v>
      </c>
      <c r="J16" s="43">
        <f t="shared" si="6"/>
        <v>0</v>
      </c>
      <c r="K16" s="43">
        <f>SUM(K14:K15)</f>
        <v>456096</v>
      </c>
      <c r="L16" s="43">
        <f>SUM(L14:L15)</f>
        <v>33900</v>
      </c>
      <c r="M16" s="43">
        <f>SUM(M14:M15)</f>
        <v>6465</v>
      </c>
      <c r="N16" s="43">
        <f t="shared" si="6"/>
        <v>182</v>
      </c>
      <c r="O16" s="43">
        <f t="shared" si="6"/>
        <v>55273</v>
      </c>
      <c r="P16" s="43"/>
      <c r="Q16" s="43">
        <f t="shared" si="6"/>
        <v>3520058</v>
      </c>
      <c r="R16" s="43">
        <f t="shared" si="6"/>
        <v>0</v>
      </c>
      <c r="S16" s="43">
        <f t="shared" si="6"/>
        <v>19221</v>
      </c>
      <c r="T16" s="43">
        <f t="shared" si="6"/>
        <v>319070</v>
      </c>
      <c r="U16" s="43">
        <f t="shared" si="6"/>
        <v>188540</v>
      </c>
      <c r="V16" s="43">
        <f t="shared" si="6"/>
        <v>27783</v>
      </c>
      <c r="W16" s="43">
        <f t="shared" si="6"/>
        <v>105714</v>
      </c>
      <c r="X16" s="43">
        <f t="shared" si="6"/>
        <v>0</v>
      </c>
      <c r="Y16" s="43">
        <f t="shared" si="6"/>
        <v>11381</v>
      </c>
      <c r="Z16" s="43">
        <f t="shared" si="6"/>
        <v>0</v>
      </c>
      <c r="AA16" s="43">
        <f t="shared" si="6"/>
        <v>671709</v>
      </c>
      <c r="AB16" s="43">
        <f t="shared" si="6"/>
        <v>4191767</v>
      </c>
      <c r="AC16" s="42"/>
    </row>
    <row r="17" spans="1:29" ht="18" customHeight="1">
      <c r="A17" s="220">
        <v>2005</v>
      </c>
      <c r="B17" s="31" t="s">
        <v>5</v>
      </c>
      <c r="C17" s="37"/>
      <c r="D17" s="37"/>
      <c r="E17" s="37">
        <v>2020691</v>
      </c>
      <c r="F17" s="37">
        <v>1017230</v>
      </c>
      <c r="G17" s="37">
        <v>47711</v>
      </c>
      <c r="H17" s="37"/>
      <c r="I17" s="37">
        <v>137223</v>
      </c>
      <c r="J17" s="37"/>
      <c r="K17" s="37">
        <v>421912</v>
      </c>
      <c r="L17" s="37">
        <v>52385</v>
      </c>
      <c r="M17" s="37"/>
      <c r="N17" s="37"/>
      <c r="O17" s="37">
        <v>138714</v>
      </c>
      <c r="P17" s="37"/>
      <c r="Q17" s="37">
        <f t="shared" si="0"/>
        <v>3835866</v>
      </c>
      <c r="R17" s="37"/>
      <c r="S17" s="37">
        <v>7115</v>
      </c>
      <c r="T17" s="37">
        <v>183721</v>
      </c>
      <c r="U17" s="37">
        <v>269132</v>
      </c>
      <c r="V17" s="37">
        <v>6565</v>
      </c>
      <c r="W17" s="37">
        <v>91191</v>
      </c>
      <c r="X17" s="37"/>
      <c r="Y17" s="37">
        <v>13721</v>
      </c>
      <c r="Z17" s="37">
        <v>5237</v>
      </c>
      <c r="AA17" s="37">
        <f t="shared" si="1"/>
        <v>576682</v>
      </c>
      <c r="AB17" s="55">
        <f t="shared" si="2"/>
        <v>4412548</v>
      </c>
      <c r="AC17" s="42"/>
    </row>
    <row r="18" spans="1:29" ht="28.5">
      <c r="A18" s="218"/>
      <c r="B18" s="3" t="s">
        <v>16</v>
      </c>
      <c r="C18" s="37">
        <v>30467</v>
      </c>
      <c r="D18" s="37">
        <v>37608</v>
      </c>
      <c r="E18" s="57"/>
      <c r="F18" s="37"/>
      <c r="G18" s="57"/>
      <c r="H18" s="37">
        <v>25865</v>
      </c>
      <c r="J18" s="37"/>
      <c r="K18" s="37">
        <v>26489</v>
      </c>
      <c r="L18" s="37">
        <v>918</v>
      </c>
      <c r="M18" s="100">
        <v>8800</v>
      </c>
      <c r="N18" s="57"/>
      <c r="O18" s="37">
        <v>113</v>
      </c>
      <c r="P18" s="37"/>
      <c r="Q18" s="37">
        <f t="shared" si="0"/>
        <v>130260</v>
      </c>
      <c r="R18" s="55"/>
      <c r="S18" s="55">
        <v>39959</v>
      </c>
      <c r="T18" s="55">
        <v>20889</v>
      </c>
      <c r="U18" s="55">
        <v>2416</v>
      </c>
      <c r="V18" s="55">
        <v>1152</v>
      </c>
      <c r="W18" s="55">
        <v>299</v>
      </c>
      <c r="X18" s="55"/>
      <c r="Y18" s="55"/>
      <c r="Z18" s="55"/>
      <c r="AA18" s="37">
        <f t="shared" si="1"/>
        <v>64715</v>
      </c>
      <c r="AB18" s="55">
        <f t="shared" si="2"/>
        <v>194975</v>
      </c>
      <c r="AC18" s="42"/>
    </row>
    <row r="19" spans="1:29">
      <c r="A19" s="219"/>
      <c r="B19" s="40" t="s">
        <v>1</v>
      </c>
      <c r="C19" s="43">
        <f>SUM(C17:C18)</f>
        <v>30467</v>
      </c>
      <c r="D19" s="43">
        <f t="shared" ref="D19:AB19" si="7">SUM(D17:D18)</f>
        <v>37608</v>
      </c>
      <c r="E19" s="43">
        <f t="shared" si="7"/>
        <v>2020691</v>
      </c>
      <c r="F19" s="43">
        <f t="shared" si="7"/>
        <v>1017230</v>
      </c>
      <c r="G19" s="43">
        <f t="shared" si="7"/>
        <v>47711</v>
      </c>
      <c r="H19" s="43">
        <f t="shared" si="7"/>
        <v>25865</v>
      </c>
      <c r="I19" s="43">
        <f t="shared" si="7"/>
        <v>137223</v>
      </c>
      <c r="J19" s="43">
        <f t="shared" si="7"/>
        <v>0</v>
      </c>
      <c r="K19" s="43">
        <f>SUM(K17:K18)</f>
        <v>448401</v>
      </c>
      <c r="L19" s="43">
        <f>SUM(L17:L18)</f>
        <v>53303</v>
      </c>
      <c r="M19" s="43">
        <f t="shared" si="7"/>
        <v>8800</v>
      </c>
      <c r="N19" s="43">
        <f t="shared" si="7"/>
        <v>0</v>
      </c>
      <c r="O19" s="43">
        <f t="shared" si="7"/>
        <v>138827</v>
      </c>
      <c r="P19" s="43"/>
      <c r="Q19" s="43">
        <f t="shared" si="7"/>
        <v>3966126</v>
      </c>
      <c r="R19" s="43">
        <f t="shared" si="7"/>
        <v>0</v>
      </c>
      <c r="S19" s="43">
        <f t="shared" si="7"/>
        <v>47074</v>
      </c>
      <c r="T19" s="43">
        <f t="shared" si="7"/>
        <v>204610</v>
      </c>
      <c r="U19" s="43">
        <f t="shared" si="7"/>
        <v>271548</v>
      </c>
      <c r="V19" s="43">
        <f t="shared" si="7"/>
        <v>7717</v>
      </c>
      <c r="W19" s="43">
        <f t="shared" si="7"/>
        <v>91490</v>
      </c>
      <c r="X19" s="43">
        <f t="shared" si="7"/>
        <v>0</v>
      </c>
      <c r="Y19" s="43">
        <f t="shared" si="7"/>
        <v>13721</v>
      </c>
      <c r="Z19" s="43">
        <f t="shared" si="7"/>
        <v>5237</v>
      </c>
      <c r="AA19" s="43">
        <f t="shared" si="7"/>
        <v>641397</v>
      </c>
      <c r="AB19" s="43">
        <f t="shared" si="7"/>
        <v>4607523</v>
      </c>
      <c r="AC19" s="42"/>
    </row>
    <row r="20" spans="1:29" ht="18" customHeight="1">
      <c r="A20" s="220">
        <v>2006</v>
      </c>
      <c r="B20" s="31" t="s">
        <v>5</v>
      </c>
      <c r="C20" s="37"/>
      <c r="D20" s="37"/>
      <c r="E20" s="37">
        <v>2260618</v>
      </c>
      <c r="F20" s="37">
        <v>1108802</v>
      </c>
      <c r="G20" s="37">
        <v>57557</v>
      </c>
      <c r="H20" s="37"/>
      <c r="I20" s="37">
        <v>149467</v>
      </c>
      <c r="J20" s="37"/>
      <c r="K20" s="37">
        <v>407648</v>
      </c>
      <c r="L20" s="37">
        <v>50275</v>
      </c>
      <c r="M20" s="37">
        <v>24578</v>
      </c>
      <c r="N20" s="37"/>
      <c r="O20" s="37">
        <v>56480</v>
      </c>
      <c r="P20" s="37"/>
      <c r="Q20" s="37">
        <f t="shared" si="0"/>
        <v>4115425</v>
      </c>
      <c r="R20" s="37"/>
      <c r="S20" s="37">
        <v>9746</v>
      </c>
      <c r="T20" s="37">
        <v>422232</v>
      </c>
      <c r="U20" s="37">
        <v>382402</v>
      </c>
      <c r="V20" s="37">
        <v>7768</v>
      </c>
      <c r="W20" s="37">
        <v>79561</v>
      </c>
      <c r="X20" s="37"/>
      <c r="Y20" s="37">
        <v>25950</v>
      </c>
      <c r="Z20" s="37">
        <v>177</v>
      </c>
      <c r="AA20" s="37">
        <f t="shared" si="1"/>
        <v>927836</v>
      </c>
      <c r="AB20" s="55">
        <f t="shared" si="2"/>
        <v>5043261</v>
      </c>
      <c r="AC20" s="42"/>
    </row>
    <row r="21" spans="1:29" ht="28.5">
      <c r="A21" s="218"/>
      <c r="B21" s="3" t="s">
        <v>16</v>
      </c>
      <c r="C21" s="37">
        <v>53660</v>
      </c>
      <c r="D21" s="37">
        <v>37235</v>
      </c>
      <c r="E21" s="57"/>
      <c r="F21" s="37"/>
      <c r="G21" s="57"/>
      <c r="H21" s="37">
        <v>24594</v>
      </c>
      <c r="I21" s="57"/>
      <c r="J21" s="57"/>
      <c r="K21" s="37">
        <v>25054</v>
      </c>
      <c r="L21" s="37">
        <v>327</v>
      </c>
      <c r="M21" s="100">
        <v>9934</v>
      </c>
      <c r="N21" s="101"/>
      <c r="O21" s="37">
        <v>29944</v>
      </c>
      <c r="P21" s="37"/>
      <c r="Q21" s="37">
        <f t="shared" si="0"/>
        <v>180748</v>
      </c>
      <c r="R21" s="55"/>
      <c r="S21" s="55"/>
      <c r="T21" s="55">
        <v>8682</v>
      </c>
      <c r="U21" s="55">
        <v>8420</v>
      </c>
      <c r="V21" s="55">
        <v>115</v>
      </c>
      <c r="W21" s="55">
        <v>4207</v>
      </c>
      <c r="X21" s="55"/>
      <c r="Y21" s="55"/>
      <c r="Z21" s="55"/>
      <c r="AA21" s="37">
        <f t="shared" si="1"/>
        <v>21424</v>
      </c>
      <c r="AB21" s="55">
        <f t="shared" si="2"/>
        <v>202172</v>
      </c>
      <c r="AC21" s="42"/>
    </row>
    <row r="22" spans="1:29">
      <c r="A22" s="219"/>
      <c r="B22" s="40" t="s">
        <v>1</v>
      </c>
      <c r="C22" s="43">
        <f>SUM(C20:C21)</f>
        <v>53660</v>
      </c>
      <c r="D22" s="43">
        <f t="shared" ref="D22:AB22" si="8">SUM(D20:D21)</f>
        <v>37235</v>
      </c>
      <c r="E22" s="43">
        <f t="shared" si="8"/>
        <v>2260618</v>
      </c>
      <c r="F22" s="43">
        <f t="shared" si="8"/>
        <v>1108802</v>
      </c>
      <c r="G22" s="43">
        <f t="shared" si="8"/>
        <v>57557</v>
      </c>
      <c r="H22" s="43">
        <f t="shared" si="8"/>
        <v>24594</v>
      </c>
      <c r="I22" s="43">
        <f t="shared" si="8"/>
        <v>149467</v>
      </c>
      <c r="J22" s="43">
        <f t="shared" si="8"/>
        <v>0</v>
      </c>
      <c r="K22" s="43">
        <f>SUM(K20:K21)</f>
        <v>432702</v>
      </c>
      <c r="L22" s="43">
        <f>SUM(L20:L21)</f>
        <v>50602</v>
      </c>
      <c r="M22" s="43">
        <f>SUM(M20:M21)</f>
        <v>34512</v>
      </c>
      <c r="N22" s="43">
        <f t="shared" si="8"/>
        <v>0</v>
      </c>
      <c r="O22" s="43">
        <f t="shared" si="8"/>
        <v>86424</v>
      </c>
      <c r="P22" s="43"/>
      <c r="Q22" s="43">
        <f t="shared" si="8"/>
        <v>4296173</v>
      </c>
      <c r="R22" s="43">
        <f t="shared" si="8"/>
        <v>0</v>
      </c>
      <c r="S22" s="43">
        <f t="shared" si="8"/>
        <v>9746</v>
      </c>
      <c r="T22" s="43">
        <f t="shared" si="8"/>
        <v>430914</v>
      </c>
      <c r="U22" s="43">
        <f t="shared" si="8"/>
        <v>390822</v>
      </c>
      <c r="V22" s="43">
        <f t="shared" si="8"/>
        <v>7883</v>
      </c>
      <c r="W22" s="43">
        <f t="shared" si="8"/>
        <v>83768</v>
      </c>
      <c r="X22" s="43">
        <f t="shared" si="8"/>
        <v>0</v>
      </c>
      <c r="Y22" s="43">
        <f t="shared" si="8"/>
        <v>25950</v>
      </c>
      <c r="Z22" s="43">
        <f t="shared" si="8"/>
        <v>177</v>
      </c>
      <c r="AA22" s="43">
        <f t="shared" si="8"/>
        <v>949260</v>
      </c>
      <c r="AB22" s="43">
        <f t="shared" si="8"/>
        <v>5245433</v>
      </c>
      <c r="AC22" s="42"/>
    </row>
    <row r="23" spans="1:29" ht="18" customHeight="1">
      <c r="A23" s="220">
        <v>2007</v>
      </c>
      <c r="B23" s="31" t="s">
        <v>5</v>
      </c>
      <c r="C23" s="37"/>
      <c r="D23" s="37"/>
      <c r="E23" s="37">
        <v>2391689</v>
      </c>
      <c r="F23" s="37">
        <v>1152773</v>
      </c>
      <c r="G23" s="37">
        <v>56191</v>
      </c>
      <c r="H23" s="37"/>
      <c r="I23" s="37">
        <v>182808</v>
      </c>
      <c r="J23" s="37"/>
      <c r="K23" s="37">
        <v>388528</v>
      </c>
      <c r="L23" s="37">
        <v>6530</v>
      </c>
      <c r="M23" s="37">
        <v>22928</v>
      </c>
      <c r="N23" s="37"/>
      <c r="O23" s="37">
        <v>56171</v>
      </c>
      <c r="P23" s="37"/>
      <c r="Q23" s="37">
        <f t="shared" si="0"/>
        <v>4257618</v>
      </c>
      <c r="R23" s="37"/>
      <c r="S23" s="37">
        <v>1954</v>
      </c>
      <c r="T23" s="37">
        <v>363081</v>
      </c>
      <c r="U23" s="37">
        <v>291270</v>
      </c>
      <c r="V23" s="37">
        <v>13912</v>
      </c>
      <c r="W23" s="37">
        <v>78469</v>
      </c>
      <c r="X23" s="37"/>
      <c r="Y23" s="37">
        <v>12073</v>
      </c>
      <c r="Z23" s="37"/>
      <c r="AA23" s="37">
        <f t="shared" si="1"/>
        <v>760759</v>
      </c>
      <c r="AB23" s="55">
        <f t="shared" si="2"/>
        <v>5018377</v>
      </c>
      <c r="AC23" s="42"/>
    </row>
    <row r="24" spans="1:29" ht="28.5">
      <c r="A24" s="218"/>
      <c r="B24" s="3" t="s">
        <v>16</v>
      </c>
      <c r="C24" s="37">
        <v>48100</v>
      </c>
      <c r="D24" s="37">
        <v>41111</v>
      </c>
      <c r="E24" s="57"/>
      <c r="F24" s="37"/>
      <c r="G24" s="57"/>
      <c r="H24" s="37">
        <v>24479</v>
      </c>
      <c r="I24" s="57"/>
      <c r="J24" s="57"/>
      <c r="K24" s="37">
        <v>24914</v>
      </c>
      <c r="L24" s="37">
        <v>873</v>
      </c>
      <c r="M24" s="37">
        <v>3099</v>
      </c>
      <c r="O24" s="37"/>
      <c r="P24" s="37"/>
      <c r="Q24" s="37">
        <f t="shared" si="0"/>
        <v>142576</v>
      </c>
      <c r="R24" s="55"/>
      <c r="S24" s="55"/>
      <c r="T24" s="55">
        <v>59</v>
      </c>
      <c r="U24" s="55">
        <v>3488</v>
      </c>
      <c r="V24" s="55">
        <v>2044</v>
      </c>
      <c r="W24" s="55">
        <v>1922</v>
      </c>
      <c r="X24" s="55">
        <v>220</v>
      </c>
      <c r="Y24" s="55"/>
      <c r="Z24" s="55"/>
      <c r="AA24" s="37">
        <f t="shared" si="1"/>
        <v>7733</v>
      </c>
      <c r="AB24" s="55">
        <f t="shared" si="2"/>
        <v>150309</v>
      </c>
      <c r="AC24" s="42"/>
    </row>
    <row r="25" spans="1:29">
      <c r="A25" s="219"/>
      <c r="B25" s="40" t="s">
        <v>1</v>
      </c>
      <c r="C25" s="43">
        <f>SUM(C23:C24)</f>
        <v>48100</v>
      </c>
      <c r="D25" s="43">
        <f t="shared" ref="D25:AB25" si="9">SUM(D23:D24)</f>
        <v>41111</v>
      </c>
      <c r="E25" s="43">
        <f t="shared" si="9"/>
        <v>2391689</v>
      </c>
      <c r="F25" s="43">
        <f t="shared" si="9"/>
        <v>1152773</v>
      </c>
      <c r="G25" s="43">
        <f t="shared" si="9"/>
        <v>56191</v>
      </c>
      <c r="H25" s="43">
        <f t="shared" si="9"/>
        <v>24479</v>
      </c>
      <c r="I25" s="43">
        <f t="shared" si="9"/>
        <v>182808</v>
      </c>
      <c r="J25" s="43">
        <f t="shared" si="9"/>
        <v>0</v>
      </c>
      <c r="K25" s="43">
        <f>SUM(K23:K24)</f>
        <v>413442</v>
      </c>
      <c r="L25" s="43">
        <f>SUM(L23:L24)</f>
        <v>7403</v>
      </c>
      <c r="M25" s="43">
        <f>SUM(M23:M24)</f>
        <v>26027</v>
      </c>
      <c r="N25" s="43">
        <f t="shared" si="9"/>
        <v>0</v>
      </c>
      <c r="O25" s="43">
        <f t="shared" si="9"/>
        <v>56171</v>
      </c>
      <c r="P25" s="43"/>
      <c r="Q25" s="43">
        <f t="shared" si="9"/>
        <v>4400194</v>
      </c>
      <c r="R25" s="43">
        <f t="shared" si="9"/>
        <v>0</v>
      </c>
      <c r="S25" s="43">
        <f t="shared" si="9"/>
        <v>1954</v>
      </c>
      <c r="T25" s="43">
        <f t="shared" si="9"/>
        <v>363140</v>
      </c>
      <c r="U25" s="43">
        <f t="shared" si="9"/>
        <v>294758</v>
      </c>
      <c r="V25" s="43">
        <f t="shared" si="9"/>
        <v>15956</v>
      </c>
      <c r="W25" s="43">
        <f t="shared" si="9"/>
        <v>80391</v>
      </c>
      <c r="X25" s="43">
        <f t="shared" si="9"/>
        <v>220</v>
      </c>
      <c r="Y25" s="43">
        <f t="shared" si="9"/>
        <v>12073</v>
      </c>
      <c r="Z25" s="43">
        <f t="shared" si="9"/>
        <v>0</v>
      </c>
      <c r="AA25" s="43">
        <f t="shared" si="9"/>
        <v>768492</v>
      </c>
      <c r="AB25" s="43">
        <f t="shared" si="9"/>
        <v>5168686</v>
      </c>
      <c r="AC25" s="42"/>
    </row>
    <row r="26" spans="1:29" ht="18" customHeight="1">
      <c r="A26" s="220">
        <v>2008</v>
      </c>
      <c r="B26" s="31" t="s">
        <v>5</v>
      </c>
      <c r="C26" s="37"/>
      <c r="D26" s="37"/>
      <c r="E26" s="37">
        <v>2416940</v>
      </c>
      <c r="F26" s="37">
        <v>1218304</v>
      </c>
      <c r="G26" s="37">
        <v>58881</v>
      </c>
      <c r="H26" s="37"/>
      <c r="I26" s="37">
        <v>191680</v>
      </c>
      <c r="J26" s="37"/>
      <c r="K26" s="37">
        <v>402278</v>
      </c>
      <c r="L26" s="37"/>
      <c r="M26" s="37">
        <v>24408</v>
      </c>
      <c r="N26" s="37"/>
      <c r="O26" s="37">
        <v>60284</v>
      </c>
      <c r="P26" s="37"/>
      <c r="Q26" s="37">
        <f t="shared" si="0"/>
        <v>4372775</v>
      </c>
      <c r="R26" s="37"/>
      <c r="S26" s="37">
        <v>3771</v>
      </c>
      <c r="T26" s="37">
        <v>329611</v>
      </c>
      <c r="U26" s="37">
        <v>326075</v>
      </c>
      <c r="V26" s="37">
        <v>6892</v>
      </c>
      <c r="W26" s="37">
        <v>92414</v>
      </c>
      <c r="X26" s="37"/>
      <c r="Y26" s="37">
        <v>15358</v>
      </c>
      <c r="Z26" s="37">
        <v>197</v>
      </c>
      <c r="AA26" s="37">
        <f t="shared" si="1"/>
        <v>774318</v>
      </c>
      <c r="AB26" s="55">
        <f t="shared" si="2"/>
        <v>5147093</v>
      </c>
      <c r="AC26" s="42"/>
    </row>
    <row r="27" spans="1:29" ht="28.5">
      <c r="A27" s="218"/>
      <c r="B27" s="3" t="s">
        <v>16</v>
      </c>
      <c r="C27" s="37">
        <v>55376</v>
      </c>
      <c r="D27" s="37">
        <v>41889</v>
      </c>
      <c r="E27" s="57"/>
      <c r="F27" s="37"/>
      <c r="G27" s="57"/>
      <c r="H27" s="37">
        <v>28507</v>
      </c>
      <c r="J27" s="37">
        <v>3038</v>
      </c>
      <c r="K27" s="37">
        <v>24626</v>
      </c>
      <c r="L27" s="37">
        <v>220</v>
      </c>
      <c r="M27" s="37">
        <v>5933</v>
      </c>
      <c r="O27" s="37"/>
      <c r="P27" s="37"/>
      <c r="Q27" s="37">
        <f t="shared" si="0"/>
        <v>159589</v>
      </c>
      <c r="R27" s="55"/>
      <c r="S27" s="55">
        <v>123</v>
      </c>
      <c r="T27" s="55">
        <v>486</v>
      </c>
      <c r="U27" s="55">
        <v>1777</v>
      </c>
      <c r="V27" s="55">
        <v>138</v>
      </c>
      <c r="W27" s="55">
        <v>3403</v>
      </c>
      <c r="X27" s="55"/>
      <c r="Y27" s="55"/>
      <c r="Z27" s="55">
        <v>120</v>
      </c>
      <c r="AA27" s="37">
        <f t="shared" si="1"/>
        <v>6047</v>
      </c>
      <c r="AB27" s="55">
        <f t="shared" si="2"/>
        <v>165636</v>
      </c>
      <c r="AC27" s="42"/>
    </row>
    <row r="28" spans="1:29">
      <c r="A28" s="219"/>
      <c r="B28" s="40" t="s">
        <v>1</v>
      </c>
      <c r="C28" s="43">
        <f>SUM(C26:C27)</f>
        <v>55376</v>
      </c>
      <c r="D28" s="43">
        <f t="shared" ref="D28:AB28" si="10">SUM(D26:D27)</f>
        <v>41889</v>
      </c>
      <c r="E28" s="43">
        <f t="shared" si="10"/>
        <v>2416940</v>
      </c>
      <c r="F28" s="43">
        <f t="shared" si="10"/>
        <v>1218304</v>
      </c>
      <c r="G28" s="43">
        <f t="shared" si="10"/>
        <v>58881</v>
      </c>
      <c r="H28" s="43">
        <f t="shared" si="10"/>
        <v>28507</v>
      </c>
      <c r="I28" s="43">
        <f t="shared" si="10"/>
        <v>191680</v>
      </c>
      <c r="J28" s="43">
        <f t="shared" si="10"/>
        <v>3038</v>
      </c>
      <c r="K28" s="43">
        <f>SUM(K26:K27)</f>
        <v>426904</v>
      </c>
      <c r="L28" s="43">
        <f>SUM(L26:L27)</f>
        <v>220</v>
      </c>
      <c r="M28" s="43">
        <f>SUM(M26:M27)</f>
        <v>30341</v>
      </c>
      <c r="N28" s="43">
        <f t="shared" si="10"/>
        <v>0</v>
      </c>
      <c r="O28" s="43">
        <f t="shared" si="10"/>
        <v>60284</v>
      </c>
      <c r="P28" s="43"/>
      <c r="Q28" s="43">
        <f t="shared" si="10"/>
        <v>4532364</v>
      </c>
      <c r="R28" s="43">
        <f t="shared" si="10"/>
        <v>0</v>
      </c>
      <c r="S28" s="43">
        <f t="shared" si="10"/>
        <v>3894</v>
      </c>
      <c r="T28" s="43">
        <f t="shared" si="10"/>
        <v>330097</v>
      </c>
      <c r="U28" s="43">
        <f t="shared" si="10"/>
        <v>327852</v>
      </c>
      <c r="V28" s="43">
        <f t="shared" si="10"/>
        <v>7030</v>
      </c>
      <c r="W28" s="43">
        <f t="shared" si="10"/>
        <v>95817</v>
      </c>
      <c r="X28" s="43">
        <f t="shared" si="10"/>
        <v>0</v>
      </c>
      <c r="Y28" s="43">
        <f t="shared" si="10"/>
        <v>15358</v>
      </c>
      <c r="Z28" s="43">
        <f t="shared" si="10"/>
        <v>317</v>
      </c>
      <c r="AA28" s="43">
        <f t="shared" si="10"/>
        <v>780365</v>
      </c>
      <c r="AB28" s="43">
        <f t="shared" si="10"/>
        <v>5312729</v>
      </c>
      <c r="AC28" s="42"/>
    </row>
    <row r="29" spans="1:29" ht="18" customHeight="1">
      <c r="A29" s="220">
        <v>2009</v>
      </c>
      <c r="B29" s="31" t="s">
        <v>5</v>
      </c>
      <c r="C29" s="37"/>
      <c r="D29" s="37"/>
      <c r="E29" s="37">
        <v>2514524</v>
      </c>
      <c r="F29" s="37">
        <v>1293264</v>
      </c>
      <c r="G29" s="37">
        <v>54384</v>
      </c>
      <c r="H29" s="37"/>
      <c r="I29" s="37">
        <v>201815</v>
      </c>
      <c r="J29" s="37"/>
      <c r="K29" s="37">
        <v>421241</v>
      </c>
      <c r="L29" s="37"/>
      <c r="M29" s="37">
        <v>21796</v>
      </c>
      <c r="N29" s="37"/>
      <c r="O29" s="37">
        <v>81875</v>
      </c>
      <c r="P29" s="37"/>
      <c r="Q29" s="37">
        <f t="shared" si="0"/>
        <v>4588899</v>
      </c>
      <c r="R29" s="37"/>
      <c r="S29" s="37">
        <v>869</v>
      </c>
      <c r="T29" s="37">
        <v>97807</v>
      </c>
      <c r="U29" s="37">
        <v>260568</v>
      </c>
      <c r="V29" s="37">
        <v>22150</v>
      </c>
      <c r="W29" s="37">
        <v>96767</v>
      </c>
      <c r="X29" s="37"/>
      <c r="Y29" s="37">
        <v>17155</v>
      </c>
      <c r="Z29" s="37">
        <v>2144</v>
      </c>
      <c r="AA29" s="37">
        <f t="shared" si="1"/>
        <v>497460</v>
      </c>
      <c r="AB29" s="55">
        <f t="shared" si="2"/>
        <v>5086359</v>
      </c>
      <c r="AC29" s="42"/>
    </row>
    <row r="30" spans="1:29" ht="28.5">
      <c r="A30" s="218"/>
      <c r="B30" s="3" t="s">
        <v>16</v>
      </c>
      <c r="C30" s="37">
        <v>68187</v>
      </c>
      <c r="D30" s="37">
        <v>46195</v>
      </c>
      <c r="E30" s="57"/>
      <c r="F30" s="37">
        <v>887</v>
      </c>
      <c r="G30" s="57"/>
      <c r="H30" s="37">
        <v>33987</v>
      </c>
      <c r="J30" s="37">
        <v>3594</v>
      </c>
      <c r="K30" s="37">
        <v>26346</v>
      </c>
      <c r="L30" s="37">
        <v>852</v>
      </c>
      <c r="M30" s="37">
        <v>15165</v>
      </c>
      <c r="O30" s="37"/>
      <c r="P30" s="37"/>
      <c r="Q30" s="37">
        <f t="shared" si="0"/>
        <v>195213</v>
      </c>
      <c r="R30" s="55"/>
      <c r="S30" s="55">
        <v>9</v>
      </c>
      <c r="T30" s="55">
        <v>14552</v>
      </c>
      <c r="U30" s="55">
        <v>6738</v>
      </c>
      <c r="V30" s="55">
        <v>1952</v>
      </c>
      <c r="W30" s="55">
        <v>3137</v>
      </c>
      <c r="X30" s="55">
        <v>300</v>
      </c>
      <c r="Y30" s="55"/>
      <c r="Z30" s="55"/>
      <c r="AA30" s="37">
        <f t="shared" si="1"/>
        <v>26688</v>
      </c>
      <c r="AB30" s="55">
        <f t="shared" si="2"/>
        <v>221901</v>
      </c>
      <c r="AC30" s="42"/>
    </row>
    <row r="31" spans="1:29">
      <c r="A31" s="219"/>
      <c r="B31" s="40" t="s">
        <v>1</v>
      </c>
      <c r="C31" s="43">
        <f>SUM(C29:C30)</f>
        <v>68187</v>
      </c>
      <c r="D31" s="43">
        <f t="shared" ref="D31:AA31" si="11">SUM(D29:D30)</f>
        <v>46195</v>
      </c>
      <c r="E31" s="43">
        <f t="shared" si="11"/>
        <v>2514524</v>
      </c>
      <c r="F31" s="43">
        <f t="shared" si="11"/>
        <v>1294151</v>
      </c>
      <c r="G31" s="43">
        <f t="shared" si="11"/>
        <v>54384</v>
      </c>
      <c r="H31" s="43">
        <f t="shared" si="11"/>
        <v>33987</v>
      </c>
      <c r="I31" s="43">
        <f t="shared" si="11"/>
        <v>201815</v>
      </c>
      <c r="J31" s="43">
        <f t="shared" si="11"/>
        <v>3594</v>
      </c>
      <c r="K31" s="43">
        <f>SUM(K29:K30)</f>
        <v>447587</v>
      </c>
      <c r="L31" s="43">
        <f>SUM(L29:L30)</f>
        <v>852</v>
      </c>
      <c r="M31" s="43">
        <f>SUM(M29:M30)</f>
        <v>36961</v>
      </c>
      <c r="N31" s="43">
        <f t="shared" si="11"/>
        <v>0</v>
      </c>
      <c r="O31" s="43">
        <f t="shared" si="11"/>
        <v>81875</v>
      </c>
      <c r="P31" s="43"/>
      <c r="Q31" s="43">
        <f t="shared" si="11"/>
        <v>4784112</v>
      </c>
      <c r="R31" s="43">
        <f t="shared" si="11"/>
        <v>0</v>
      </c>
      <c r="S31" s="43">
        <f t="shared" si="11"/>
        <v>878</v>
      </c>
      <c r="T31" s="43">
        <f t="shared" si="11"/>
        <v>112359</v>
      </c>
      <c r="U31" s="43">
        <f t="shared" si="11"/>
        <v>267306</v>
      </c>
      <c r="V31" s="43">
        <f t="shared" si="11"/>
        <v>24102</v>
      </c>
      <c r="W31" s="43">
        <f t="shared" si="11"/>
        <v>99904</v>
      </c>
      <c r="X31" s="43">
        <f t="shared" si="11"/>
        <v>300</v>
      </c>
      <c r="Y31" s="43">
        <f t="shared" si="11"/>
        <v>17155</v>
      </c>
      <c r="Z31" s="43">
        <f t="shared" si="11"/>
        <v>2144</v>
      </c>
      <c r="AA31" s="43">
        <f t="shared" si="11"/>
        <v>524148</v>
      </c>
      <c r="AB31" s="43">
        <f>SUM(AB29:AB30)</f>
        <v>5308260</v>
      </c>
      <c r="AC31" s="42"/>
    </row>
    <row r="32" spans="1:29" ht="18" customHeight="1">
      <c r="A32" s="220">
        <v>2010</v>
      </c>
      <c r="B32" s="31" t="s">
        <v>5</v>
      </c>
      <c r="C32" s="37"/>
      <c r="D32" s="37"/>
      <c r="E32" s="37">
        <v>2460125</v>
      </c>
      <c r="F32" s="37">
        <v>1437962</v>
      </c>
      <c r="G32" s="37">
        <v>43631</v>
      </c>
      <c r="H32" s="37"/>
      <c r="I32" s="37">
        <v>201749</v>
      </c>
      <c r="J32" s="37"/>
      <c r="K32" s="37">
        <v>415082</v>
      </c>
      <c r="L32" s="37"/>
      <c r="M32" s="37">
        <v>23502</v>
      </c>
      <c r="N32" s="37"/>
      <c r="O32" s="37">
        <v>71087</v>
      </c>
      <c r="P32" s="37"/>
      <c r="Q32" s="37">
        <f t="shared" si="0"/>
        <v>4653138</v>
      </c>
      <c r="R32" s="37"/>
      <c r="S32" s="37">
        <v>3018</v>
      </c>
      <c r="T32" s="37">
        <v>196640</v>
      </c>
      <c r="U32" s="37">
        <v>324802</v>
      </c>
      <c r="V32" s="37">
        <v>9223</v>
      </c>
      <c r="W32" s="37">
        <v>61367</v>
      </c>
      <c r="X32" s="37"/>
      <c r="Y32" s="37">
        <v>27050</v>
      </c>
      <c r="Z32" s="37"/>
      <c r="AA32" s="37">
        <f t="shared" si="1"/>
        <v>622100</v>
      </c>
      <c r="AB32" s="55">
        <f t="shared" si="2"/>
        <v>5275238</v>
      </c>
      <c r="AC32" s="42"/>
    </row>
    <row r="33" spans="1:29" ht="28.5">
      <c r="A33" s="218"/>
      <c r="B33" s="3" t="s">
        <v>16</v>
      </c>
      <c r="C33" s="37">
        <v>73070</v>
      </c>
      <c r="D33" s="37">
        <v>49988</v>
      </c>
      <c r="E33" s="57"/>
      <c r="F33" s="37">
        <v>869</v>
      </c>
      <c r="G33" s="57"/>
      <c r="H33" s="37">
        <v>44915</v>
      </c>
      <c r="J33" s="37">
        <v>6638</v>
      </c>
      <c r="K33" s="37">
        <v>29659</v>
      </c>
      <c r="L33" s="37">
        <v>570</v>
      </c>
      <c r="M33" s="37">
        <v>14328</v>
      </c>
      <c r="O33" s="37">
        <v>144</v>
      </c>
      <c r="P33" s="37"/>
      <c r="Q33" s="37">
        <f t="shared" si="0"/>
        <v>220181</v>
      </c>
      <c r="R33" s="55"/>
      <c r="S33" s="55">
        <v>1171</v>
      </c>
      <c r="T33" s="55">
        <v>22100</v>
      </c>
      <c r="U33" s="55">
        <v>4621</v>
      </c>
      <c r="V33" s="55">
        <v>2283</v>
      </c>
      <c r="W33" s="55">
        <v>2240</v>
      </c>
      <c r="X33" s="55"/>
      <c r="Y33" s="55"/>
      <c r="Z33" s="55"/>
      <c r="AA33" s="37">
        <f t="shared" si="1"/>
        <v>32415</v>
      </c>
      <c r="AB33" s="55">
        <f t="shared" si="2"/>
        <v>252596</v>
      </c>
      <c r="AC33" s="42"/>
    </row>
    <row r="34" spans="1:29">
      <c r="A34" s="219"/>
      <c r="B34" s="40" t="s">
        <v>1</v>
      </c>
      <c r="C34" s="43">
        <f>SUM(C32:C33)</f>
        <v>73070</v>
      </c>
      <c r="D34" s="43">
        <f t="shared" ref="D34:AB34" si="12">SUM(D32:D33)</f>
        <v>49988</v>
      </c>
      <c r="E34" s="43">
        <f t="shared" si="12"/>
        <v>2460125</v>
      </c>
      <c r="F34" s="43">
        <f t="shared" si="12"/>
        <v>1438831</v>
      </c>
      <c r="G34" s="43">
        <f t="shared" si="12"/>
        <v>43631</v>
      </c>
      <c r="H34" s="43">
        <f t="shared" si="12"/>
        <v>44915</v>
      </c>
      <c r="I34" s="43">
        <f t="shared" si="12"/>
        <v>201749</v>
      </c>
      <c r="J34" s="43">
        <f t="shared" si="12"/>
        <v>6638</v>
      </c>
      <c r="K34" s="43">
        <f>SUM(K32:K33)</f>
        <v>444741</v>
      </c>
      <c r="L34" s="43">
        <f>SUM(L32:L33)</f>
        <v>570</v>
      </c>
      <c r="M34" s="43">
        <f>SUM(M32:M33)</f>
        <v>37830</v>
      </c>
      <c r="N34" s="43">
        <f t="shared" si="12"/>
        <v>0</v>
      </c>
      <c r="O34" s="43">
        <f t="shared" si="12"/>
        <v>71231</v>
      </c>
      <c r="P34" s="43"/>
      <c r="Q34" s="43">
        <f t="shared" si="12"/>
        <v>4873319</v>
      </c>
      <c r="R34" s="43">
        <f t="shared" si="12"/>
        <v>0</v>
      </c>
      <c r="S34" s="43">
        <f t="shared" si="12"/>
        <v>4189</v>
      </c>
      <c r="T34" s="43">
        <f t="shared" si="12"/>
        <v>218740</v>
      </c>
      <c r="U34" s="43">
        <f t="shared" si="12"/>
        <v>329423</v>
      </c>
      <c r="V34" s="43">
        <f t="shared" si="12"/>
        <v>11506</v>
      </c>
      <c r="W34" s="43">
        <f t="shared" si="12"/>
        <v>63607</v>
      </c>
      <c r="X34" s="43">
        <f t="shared" si="12"/>
        <v>0</v>
      </c>
      <c r="Y34" s="43">
        <f t="shared" si="12"/>
        <v>27050</v>
      </c>
      <c r="Z34" s="43">
        <f t="shared" si="12"/>
        <v>0</v>
      </c>
      <c r="AA34" s="43">
        <f t="shared" si="12"/>
        <v>654515</v>
      </c>
      <c r="AB34" s="43">
        <f t="shared" si="12"/>
        <v>5527834</v>
      </c>
      <c r="AC34" s="42"/>
    </row>
    <row r="35" spans="1:29" ht="18" customHeight="1">
      <c r="A35" s="220">
        <v>2011</v>
      </c>
      <c r="B35" s="31" t="s">
        <v>5</v>
      </c>
      <c r="C35" s="37"/>
      <c r="D35" s="37"/>
      <c r="E35" s="37">
        <v>2466324</v>
      </c>
      <c r="F35" s="37">
        <v>1346588</v>
      </c>
      <c r="G35" s="37">
        <v>41144</v>
      </c>
      <c r="H35" s="37"/>
      <c r="I35" s="37">
        <v>193568</v>
      </c>
      <c r="J35" s="37"/>
      <c r="K35" s="37">
        <v>435152</v>
      </c>
      <c r="L35" s="37"/>
      <c r="M35" s="37">
        <v>22317</v>
      </c>
      <c r="N35" s="37"/>
      <c r="O35" s="37">
        <v>95442</v>
      </c>
      <c r="P35" s="37"/>
      <c r="Q35" s="37">
        <f t="shared" si="0"/>
        <v>4600535</v>
      </c>
      <c r="R35" s="37"/>
      <c r="S35" s="37"/>
      <c r="T35" s="37">
        <v>151916</v>
      </c>
      <c r="U35" s="37">
        <v>239189</v>
      </c>
      <c r="V35" s="37">
        <v>7388</v>
      </c>
      <c r="W35" s="37">
        <v>54812</v>
      </c>
      <c r="X35" s="37"/>
      <c r="Y35" s="37">
        <v>31501</v>
      </c>
      <c r="Z35" s="37">
        <v>98</v>
      </c>
      <c r="AA35" s="37">
        <f t="shared" si="1"/>
        <v>484904</v>
      </c>
      <c r="AB35" s="55">
        <f t="shared" si="2"/>
        <v>5085439</v>
      </c>
      <c r="AC35" s="42"/>
    </row>
    <row r="36" spans="1:29" ht="28.5">
      <c r="A36" s="218"/>
      <c r="B36" s="3" t="s">
        <v>16</v>
      </c>
      <c r="C36" s="37">
        <v>72762</v>
      </c>
      <c r="D36" s="37">
        <v>48641</v>
      </c>
      <c r="E36" s="57"/>
      <c r="F36" s="37">
        <v>1254</v>
      </c>
      <c r="G36" s="57"/>
      <c r="H36" s="37">
        <v>44495</v>
      </c>
      <c r="I36" s="57"/>
      <c r="J36" s="57"/>
      <c r="K36" s="37">
        <v>30494</v>
      </c>
      <c r="L36" s="37">
        <v>810</v>
      </c>
      <c r="M36" s="37">
        <v>11828</v>
      </c>
      <c r="O36" s="37">
        <v>159</v>
      </c>
      <c r="P36" s="37"/>
      <c r="Q36" s="37">
        <f t="shared" si="0"/>
        <v>210443</v>
      </c>
      <c r="R36" s="55"/>
      <c r="S36" s="55"/>
      <c r="T36" s="55">
        <v>7982</v>
      </c>
      <c r="U36" s="55">
        <v>3588</v>
      </c>
      <c r="V36" s="55">
        <v>1085</v>
      </c>
      <c r="W36" s="55">
        <v>2821</v>
      </c>
      <c r="X36" s="55">
        <v>200</v>
      </c>
      <c r="Y36" s="55">
        <v>15</v>
      </c>
      <c r="Z36" s="55"/>
      <c r="AA36" s="37">
        <f t="shared" si="1"/>
        <v>15691</v>
      </c>
      <c r="AB36" s="55">
        <f t="shared" si="2"/>
        <v>226134</v>
      </c>
      <c r="AC36" s="42"/>
    </row>
    <row r="37" spans="1:29">
      <c r="A37" s="219"/>
      <c r="B37" s="40" t="s">
        <v>1</v>
      </c>
      <c r="C37" s="43">
        <f>SUM(C35:C36)</f>
        <v>72762</v>
      </c>
      <c r="D37" s="43">
        <f t="shared" ref="D37:AB37" si="13">SUM(D35:D36)</f>
        <v>48641</v>
      </c>
      <c r="E37" s="43">
        <f t="shared" si="13"/>
        <v>2466324</v>
      </c>
      <c r="F37" s="43">
        <f t="shared" si="13"/>
        <v>1347842</v>
      </c>
      <c r="G37" s="43">
        <f t="shared" si="13"/>
        <v>41144</v>
      </c>
      <c r="H37" s="43">
        <f t="shared" si="13"/>
        <v>44495</v>
      </c>
      <c r="I37" s="43">
        <f t="shared" si="13"/>
        <v>193568</v>
      </c>
      <c r="J37" s="43"/>
      <c r="K37" s="43">
        <f>SUM(K35:K36)</f>
        <v>465646</v>
      </c>
      <c r="L37" s="43">
        <f>SUM(L35:L36)</f>
        <v>810</v>
      </c>
      <c r="M37" s="43">
        <f>SUM(M35:M36)</f>
        <v>34145</v>
      </c>
      <c r="N37" s="43">
        <f t="shared" si="13"/>
        <v>0</v>
      </c>
      <c r="O37" s="43">
        <f t="shared" si="13"/>
        <v>95601</v>
      </c>
      <c r="P37" s="43"/>
      <c r="Q37" s="43">
        <f t="shared" si="13"/>
        <v>4810978</v>
      </c>
      <c r="R37" s="43">
        <f t="shared" si="13"/>
        <v>0</v>
      </c>
      <c r="S37" s="43">
        <f t="shared" si="13"/>
        <v>0</v>
      </c>
      <c r="T37" s="43">
        <f t="shared" si="13"/>
        <v>159898</v>
      </c>
      <c r="U37" s="43">
        <f t="shared" si="13"/>
        <v>242777</v>
      </c>
      <c r="V37" s="43">
        <f t="shared" si="13"/>
        <v>8473</v>
      </c>
      <c r="W37" s="43">
        <f t="shared" si="13"/>
        <v>57633</v>
      </c>
      <c r="X37" s="43">
        <f t="shared" si="13"/>
        <v>200</v>
      </c>
      <c r="Y37" s="43">
        <f t="shared" si="13"/>
        <v>31516</v>
      </c>
      <c r="Z37" s="43">
        <f t="shared" si="13"/>
        <v>98</v>
      </c>
      <c r="AA37" s="43">
        <f t="shared" si="13"/>
        <v>500595</v>
      </c>
      <c r="AB37" s="43">
        <f t="shared" si="13"/>
        <v>5311573</v>
      </c>
      <c r="AC37" s="42"/>
    </row>
    <row r="38" spans="1:29" ht="18" customHeight="1">
      <c r="A38" s="220">
        <v>2012</v>
      </c>
      <c r="B38" s="31" t="s">
        <v>5</v>
      </c>
      <c r="C38" s="37"/>
      <c r="D38" s="37"/>
      <c r="E38" s="37">
        <v>2520186</v>
      </c>
      <c r="F38" s="37">
        <v>1215967</v>
      </c>
      <c r="G38" s="37">
        <v>31915</v>
      </c>
      <c r="H38" s="37"/>
      <c r="I38" s="37">
        <v>212599</v>
      </c>
      <c r="J38" s="37"/>
      <c r="K38" s="37">
        <v>474026</v>
      </c>
      <c r="L38" s="37"/>
      <c r="M38" s="37">
        <v>22096</v>
      </c>
      <c r="N38" s="37"/>
      <c r="O38" s="37">
        <v>66341</v>
      </c>
      <c r="P38" s="37"/>
      <c r="Q38" s="37">
        <f t="shared" si="0"/>
        <v>4543130</v>
      </c>
      <c r="R38" s="37"/>
      <c r="S38" s="37">
        <v>7023</v>
      </c>
      <c r="T38" s="37">
        <v>426398</v>
      </c>
      <c r="U38" s="37">
        <v>274942</v>
      </c>
      <c r="V38" s="37">
        <v>9319</v>
      </c>
      <c r="W38" s="37">
        <v>53729</v>
      </c>
      <c r="X38" s="37"/>
      <c r="Y38" s="37">
        <v>13156</v>
      </c>
      <c r="Z38" s="37">
        <v>1678</v>
      </c>
      <c r="AA38" s="37">
        <f t="shared" si="1"/>
        <v>786245</v>
      </c>
      <c r="AB38" s="55">
        <f t="shared" si="2"/>
        <v>5329375</v>
      </c>
      <c r="AC38" s="42"/>
    </row>
    <row r="39" spans="1:29" ht="28.5">
      <c r="A39" s="218"/>
      <c r="B39" s="3" t="s">
        <v>16</v>
      </c>
      <c r="C39" s="37">
        <v>71945</v>
      </c>
      <c r="D39" s="37">
        <v>48847</v>
      </c>
      <c r="E39" s="57"/>
      <c r="F39" s="37">
        <v>5107</v>
      </c>
      <c r="G39" s="57"/>
      <c r="H39" s="37">
        <v>51089</v>
      </c>
      <c r="I39" s="57"/>
      <c r="J39" s="57"/>
      <c r="K39" s="37">
        <v>26756</v>
      </c>
      <c r="L39" s="37">
        <v>766</v>
      </c>
      <c r="M39" s="37">
        <v>6057</v>
      </c>
      <c r="O39" s="37">
        <v>582</v>
      </c>
      <c r="P39" s="37"/>
      <c r="Q39" s="37">
        <f t="shared" si="0"/>
        <v>211149</v>
      </c>
      <c r="R39" s="55"/>
      <c r="S39" s="55"/>
      <c r="T39" s="55">
        <v>640</v>
      </c>
      <c r="U39" s="55">
        <v>4187</v>
      </c>
      <c r="V39" s="55">
        <v>2442</v>
      </c>
      <c r="W39" s="55">
        <v>2116</v>
      </c>
      <c r="X39" s="55"/>
      <c r="Y39" s="55">
        <v>235</v>
      </c>
      <c r="Z39" s="55"/>
      <c r="AA39" s="37">
        <f t="shared" si="1"/>
        <v>9620</v>
      </c>
      <c r="AB39" s="55">
        <f t="shared" si="2"/>
        <v>220769</v>
      </c>
      <c r="AC39" s="42"/>
    </row>
    <row r="40" spans="1:29">
      <c r="A40" s="219"/>
      <c r="B40" s="40" t="s">
        <v>1</v>
      </c>
      <c r="C40" s="43">
        <f>SUM(C38:C39)</f>
        <v>71945</v>
      </c>
      <c r="D40" s="43">
        <f t="shared" ref="D40:AB40" si="14">SUM(D38:D39)</f>
        <v>48847</v>
      </c>
      <c r="E40" s="43">
        <f t="shared" si="14"/>
        <v>2520186</v>
      </c>
      <c r="F40" s="43">
        <f t="shared" si="14"/>
        <v>1221074</v>
      </c>
      <c r="G40" s="43">
        <f t="shared" si="14"/>
        <v>31915</v>
      </c>
      <c r="H40" s="43">
        <f t="shared" si="14"/>
        <v>51089</v>
      </c>
      <c r="I40" s="43">
        <f t="shared" si="14"/>
        <v>212599</v>
      </c>
      <c r="J40" s="43"/>
      <c r="K40" s="43">
        <f>SUM(K38:K39)</f>
        <v>500782</v>
      </c>
      <c r="L40" s="43">
        <f>SUM(L38:L39)</f>
        <v>766</v>
      </c>
      <c r="M40" s="43">
        <f>SUM(M38:M39)</f>
        <v>28153</v>
      </c>
      <c r="N40" s="43">
        <f t="shared" si="14"/>
        <v>0</v>
      </c>
      <c r="O40" s="43">
        <f t="shared" si="14"/>
        <v>66923</v>
      </c>
      <c r="P40" s="43"/>
      <c r="Q40" s="43">
        <f t="shared" si="14"/>
        <v>4754279</v>
      </c>
      <c r="R40" s="43">
        <f t="shared" si="14"/>
        <v>0</v>
      </c>
      <c r="S40" s="43">
        <f t="shared" si="14"/>
        <v>7023</v>
      </c>
      <c r="T40" s="43">
        <f t="shared" si="14"/>
        <v>427038</v>
      </c>
      <c r="U40" s="43">
        <f t="shared" si="14"/>
        <v>279129</v>
      </c>
      <c r="V40" s="43">
        <f t="shared" si="14"/>
        <v>11761</v>
      </c>
      <c r="W40" s="43">
        <f t="shared" si="14"/>
        <v>55845</v>
      </c>
      <c r="X40" s="43">
        <f t="shared" si="14"/>
        <v>0</v>
      </c>
      <c r="Y40" s="43">
        <f t="shared" si="14"/>
        <v>13391</v>
      </c>
      <c r="Z40" s="43">
        <f t="shared" si="14"/>
        <v>1678</v>
      </c>
      <c r="AA40" s="43">
        <f t="shared" si="14"/>
        <v>795865</v>
      </c>
      <c r="AB40" s="43">
        <f t="shared" si="14"/>
        <v>5550144</v>
      </c>
      <c r="AC40" s="42"/>
    </row>
    <row r="41" spans="1:29" ht="18" customHeight="1">
      <c r="A41" s="220">
        <v>2013</v>
      </c>
      <c r="B41" s="31" t="s">
        <v>5</v>
      </c>
      <c r="C41" s="37"/>
      <c r="D41" s="37"/>
      <c r="E41" s="37">
        <v>2484185</v>
      </c>
      <c r="F41" s="37">
        <v>1253475</v>
      </c>
      <c r="G41" s="37">
        <v>39468</v>
      </c>
      <c r="H41" s="37"/>
      <c r="I41" s="37">
        <v>217565</v>
      </c>
      <c r="J41" s="37"/>
      <c r="K41" s="37">
        <v>462024</v>
      </c>
      <c r="L41" s="37"/>
      <c r="M41" s="37">
        <v>21664</v>
      </c>
      <c r="N41" s="37"/>
      <c r="O41" s="37">
        <v>121250</v>
      </c>
      <c r="P41" s="37"/>
      <c r="Q41" s="37">
        <f>SUM(C41:O41)</f>
        <v>4599631</v>
      </c>
      <c r="R41" s="37"/>
      <c r="S41" s="37">
        <v>3170</v>
      </c>
      <c r="T41" s="37">
        <v>344379</v>
      </c>
      <c r="U41" s="37">
        <v>291888</v>
      </c>
      <c r="V41" s="37">
        <v>5602</v>
      </c>
      <c r="W41" s="37">
        <v>52059</v>
      </c>
      <c r="X41" s="37"/>
      <c r="Y41" s="37">
        <v>14234</v>
      </c>
      <c r="Z41" s="37">
        <v>10947</v>
      </c>
      <c r="AA41" s="37">
        <f>SUM(R41:Z41)</f>
        <v>722279</v>
      </c>
      <c r="AB41" s="55">
        <f>Q41+AA41</f>
        <v>5321910</v>
      </c>
      <c r="AC41" s="42"/>
    </row>
    <row r="42" spans="1:29" ht="28.5">
      <c r="A42" s="218"/>
      <c r="B42" s="3" t="s">
        <v>16</v>
      </c>
      <c r="C42" s="37">
        <v>77501</v>
      </c>
      <c r="D42" s="37">
        <v>54662</v>
      </c>
      <c r="E42" s="57"/>
      <c r="F42" s="37">
        <v>4507</v>
      </c>
      <c r="G42" s="57"/>
      <c r="H42" s="37">
        <v>49068</v>
      </c>
      <c r="I42" s="57"/>
      <c r="J42" s="57"/>
      <c r="K42" s="37">
        <v>27321</v>
      </c>
      <c r="L42" s="37">
        <v>455</v>
      </c>
      <c r="M42" s="37">
        <v>5440</v>
      </c>
      <c r="O42" s="37">
        <v>811</v>
      </c>
      <c r="P42" s="37"/>
      <c r="Q42" s="37">
        <f>SUM(C42:O42)</f>
        <v>219765</v>
      </c>
      <c r="R42" s="55"/>
      <c r="S42" s="55">
        <v>1600</v>
      </c>
      <c r="T42" s="55">
        <v>3730</v>
      </c>
      <c r="U42" s="55">
        <v>1979</v>
      </c>
      <c r="V42" s="55">
        <v>1252</v>
      </c>
      <c r="W42" s="55">
        <v>1064</v>
      </c>
      <c r="X42" s="55"/>
      <c r="Y42" s="55">
        <v>171</v>
      </c>
      <c r="Z42" s="55"/>
      <c r="AA42" s="37">
        <f>SUM(R42:Z42)</f>
        <v>9796</v>
      </c>
      <c r="AB42" s="55">
        <f>Q42+AA42</f>
        <v>229561</v>
      </c>
      <c r="AC42" s="42"/>
    </row>
    <row r="43" spans="1:29">
      <c r="A43" s="219"/>
      <c r="B43" s="40" t="s">
        <v>1</v>
      </c>
      <c r="C43" s="43">
        <f t="shared" ref="C43:I43" si="15">SUM(C41:C42)</f>
        <v>77501</v>
      </c>
      <c r="D43" s="43">
        <f t="shared" si="15"/>
        <v>54662</v>
      </c>
      <c r="E43" s="43">
        <f t="shared" si="15"/>
        <v>2484185</v>
      </c>
      <c r="F43" s="43">
        <f t="shared" si="15"/>
        <v>1257982</v>
      </c>
      <c r="G43" s="43">
        <f t="shared" si="15"/>
        <v>39468</v>
      </c>
      <c r="H43" s="43">
        <f t="shared" si="15"/>
        <v>49068</v>
      </c>
      <c r="I43" s="43">
        <f t="shared" si="15"/>
        <v>217565</v>
      </c>
      <c r="J43" s="43"/>
      <c r="K43" s="43">
        <f t="shared" ref="K43:X43" si="16">SUM(K41:K42)</f>
        <v>489345</v>
      </c>
      <c r="L43" s="43">
        <f t="shared" si="16"/>
        <v>455</v>
      </c>
      <c r="M43" s="43">
        <f t="shared" si="16"/>
        <v>27104</v>
      </c>
      <c r="N43" s="43">
        <f t="shared" si="16"/>
        <v>0</v>
      </c>
      <c r="O43" s="43">
        <f t="shared" si="16"/>
        <v>122061</v>
      </c>
      <c r="P43" s="43"/>
      <c r="Q43" s="43">
        <f t="shared" si="16"/>
        <v>4819396</v>
      </c>
      <c r="R43" s="43">
        <f t="shared" si="16"/>
        <v>0</v>
      </c>
      <c r="S43" s="43">
        <f t="shared" si="16"/>
        <v>4770</v>
      </c>
      <c r="T43" s="43">
        <f t="shared" si="16"/>
        <v>348109</v>
      </c>
      <c r="U43" s="43">
        <f t="shared" si="16"/>
        <v>293867</v>
      </c>
      <c r="V43" s="43">
        <f t="shared" si="16"/>
        <v>6854</v>
      </c>
      <c r="W43" s="43">
        <f t="shared" si="16"/>
        <v>53123</v>
      </c>
      <c r="X43" s="43">
        <f t="shared" si="16"/>
        <v>0</v>
      </c>
      <c r="Y43" s="43">
        <f>SUM(Y41:Y42)</f>
        <v>14405</v>
      </c>
      <c r="Z43" s="43">
        <f>SUM(Z41:Z42)</f>
        <v>10947</v>
      </c>
      <c r="AA43" s="43">
        <f>SUM(AA41:AA42)</f>
        <v>732075</v>
      </c>
      <c r="AB43" s="43">
        <f>SUM(AB41:AB42)</f>
        <v>5551471</v>
      </c>
      <c r="AC43" s="42"/>
    </row>
    <row r="44" spans="1:29" ht="18" customHeight="1">
      <c r="A44" s="220">
        <v>2014</v>
      </c>
      <c r="B44" s="31" t="s">
        <v>5</v>
      </c>
      <c r="C44" s="37"/>
      <c r="D44" s="37"/>
      <c r="E44" s="37">
        <v>2498446</v>
      </c>
      <c r="F44" s="37">
        <v>1260157</v>
      </c>
      <c r="G44" s="37">
        <v>47297</v>
      </c>
      <c r="H44" s="37"/>
      <c r="I44" s="37">
        <v>211912</v>
      </c>
      <c r="J44" s="37"/>
      <c r="K44" s="37">
        <v>443341</v>
      </c>
      <c r="L44" s="37">
        <v>0</v>
      </c>
      <c r="M44" s="37">
        <v>19209</v>
      </c>
      <c r="N44" s="37"/>
      <c r="O44" s="37">
        <v>90481</v>
      </c>
      <c r="P44" s="37">
        <v>5001</v>
      </c>
      <c r="Q44" s="37">
        <f>SUM(C44:P44)</f>
        <v>4575844</v>
      </c>
      <c r="R44" s="37"/>
      <c r="S44" s="37"/>
      <c r="T44" s="37">
        <v>310500</v>
      </c>
      <c r="U44" s="37">
        <v>207726</v>
      </c>
      <c r="V44" s="37">
        <v>17254</v>
      </c>
      <c r="W44" s="37">
        <v>67510</v>
      </c>
      <c r="X44" s="37"/>
      <c r="Y44" s="37">
        <v>16583</v>
      </c>
      <c r="Z44" s="37">
        <v>13770</v>
      </c>
      <c r="AA44" s="37">
        <f>SUM(R44:Z44)</f>
        <v>633343</v>
      </c>
      <c r="AB44" s="55">
        <f>Q44+AA44</f>
        <v>5209187</v>
      </c>
      <c r="AC44" s="42"/>
    </row>
    <row r="45" spans="1:29" ht="28.5">
      <c r="A45" s="218"/>
      <c r="B45" s="3" t="s">
        <v>16</v>
      </c>
      <c r="C45" s="37">
        <v>75762</v>
      </c>
      <c r="D45" s="37">
        <v>48970</v>
      </c>
      <c r="E45" s="57"/>
      <c r="F45" s="37">
        <v>4138</v>
      </c>
      <c r="G45" s="57"/>
      <c r="H45" s="37">
        <v>51313</v>
      </c>
      <c r="I45" s="57"/>
      <c r="J45" s="57"/>
      <c r="K45" s="37">
        <v>31118</v>
      </c>
      <c r="L45" s="37">
        <v>194</v>
      </c>
      <c r="M45" s="37">
        <v>5201</v>
      </c>
      <c r="O45" s="37">
        <v>41</v>
      </c>
      <c r="P45" s="37"/>
      <c r="Q45" s="37">
        <f>SUM(C45:O45)</f>
        <v>216737</v>
      </c>
      <c r="R45" s="55"/>
      <c r="S45" s="55">
        <v>6720</v>
      </c>
      <c r="T45" s="55">
        <v>21487</v>
      </c>
      <c r="U45" s="55">
        <v>18714</v>
      </c>
      <c r="V45" s="55">
        <v>93</v>
      </c>
      <c r="W45" s="55">
        <v>1302</v>
      </c>
      <c r="X45" s="55"/>
      <c r="Y45" s="55"/>
      <c r="Z45" s="55">
        <v>1003</v>
      </c>
      <c r="AA45" s="37">
        <f>SUM(R45:Z45)</f>
        <v>49319</v>
      </c>
      <c r="AB45" s="55">
        <f>Q45+AA45</f>
        <v>266056</v>
      </c>
      <c r="AC45" s="42"/>
    </row>
    <row r="46" spans="1:29">
      <c r="A46" s="219"/>
      <c r="B46" s="40" t="s">
        <v>1</v>
      </c>
      <c r="C46" s="43">
        <f t="shared" ref="C46:I46" si="17">SUM(C44:C45)</f>
        <v>75762</v>
      </c>
      <c r="D46" s="43">
        <f t="shared" si="17"/>
        <v>48970</v>
      </c>
      <c r="E46" s="43">
        <f t="shared" si="17"/>
        <v>2498446</v>
      </c>
      <c r="F46" s="43">
        <f t="shared" si="17"/>
        <v>1264295</v>
      </c>
      <c r="G46" s="43">
        <f t="shared" si="17"/>
        <v>47297</v>
      </c>
      <c r="H46" s="43">
        <f t="shared" si="17"/>
        <v>51313</v>
      </c>
      <c r="I46" s="43">
        <f t="shared" si="17"/>
        <v>211912</v>
      </c>
      <c r="J46" s="43"/>
      <c r="K46" s="43">
        <f t="shared" ref="K46:X46" si="18">SUM(K44:K45)</f>
        <v>474459</v>
      </c>
      <c r="L46" s="43">
        <f t="shared" si="18"/>
        <v>194</v>
      </c>
      <c r="M46" s="43">
        <f t="shared" si="18"/>
        <v>24410</v>
      </c>
      <c r="N46" s="43">
        <f t="shared" si="18"/>
        <v>0</v>
      </c>
      <c r="O46" s="43">
        <f t="shared" si="18"/>
        <v>90522</v>
      </c>
      <c r="P46" s="43"/>
      <c r="Q46" s="43">
        <f t="shared" si="18"/>
        <v>4792581</v>
      </c>
      <c r="R46" s="43">
        <f t="shared" si="18"/>
        <v>0</v>
      </c>
      <c r="S46" s="43">
        <f t="shared" si="18"/>
        <v>6720</v>
      </c>
      <c r="T46" s="43">
        <f t="shared" si="18"/>
        <v>331987</v>
      </c>
      <c r="U46" s="43">
        <f t="shared" si="18"/>
        <v>226440</v>
      </c>
      <c r="V46" s="43">
        <f t="shared" si="18"/>
        <v>17347</v>
      </c>
      <c r="W46" s="43">
        <f t="shared" si="18"/>
        <v>68812</v>
      </c>
      <c r="X46" s="43">
        <f t="shared" si="18"/>
        <v>0</v>
      </c>
      <c r="Y46" s="43">
        <f>SUM(Y44:Y45)</f>
        <v>16583</v>
      </c>
      <c r="Z46" s="43">
        <f>SUM(Z44:Z45)</f>
        <v>14773</v>
      </c>
      <c r="AA46" s="43">
        <f>SUM(AA44:AA45)</f>
        <v>682662</v>
      </c>
      <c r="AB46" s="43">
        <f>SUM(AB44:AB45)</f>
        <v>5475243</v>
      </c>
      <c r="AC46" s="42"/>
    </row>
    <row r="47" spans="1:29" ht="18" customHeight="1">
      <c r="A47" s="217">
        <v>2015</v>
      </c>
      <c r="B47" s="31" t="s">
        <v>5</v>
      </c>
      <c r="C47" s="37"/>
      <c r="D47" s="37"/>
      <c r="E47" s="37">
        <v>2441532</v>
      </c>
      <c r="F47" s="37">
        <v>1256909</v>
      </c>
      <c r="G47" s="37">
        <v>53261</v>
      </c>
      <c r="H47" s="37"/>
      <c r="I47" s="37">
        <v>195045</v>
      </c>
      <c r="J47" s="37"/>
      <c r="K47" s="37">
        <v>495277</v>
      </c>
      <c r="L47" s="37"/>
      <c r="M47" s="37">
        <v>18914</v>
      </c>
      <c r="N47" s="37"/>
      <c r="O47" s="37">
        <v>99267</v>
      </c>
      <c r="P47" s="37">
        <v>336</v>
      </c>
      <c r="Q47" s="37">
        <f>SUM(C47:P47)</f>
        <v>4560541</v>
      </c>
      <c r="R47" s="37">
        <v>0</v>
      </c>
      <c r="S47" s="37">
        <v>0</v>
      </c>
      <c r="T47" s="37">
        <v>80313</v>
      </c>
      <c r="U47" s="37">
        <v>216449</v>
      </c>
      <c r="V47" s="37">
        <v>11936</v>
      </c>
      <c r="W47" s="37">
        <v>53873</v>
      </c>
      <c r="X47" s="37"/>
      <c r="Y47" s="37">
        <v>17264</v>
      </c>
      <c r="Z47" s="37">
        <v>19834</v>
      </c>
      <c r="AA47" s="37">
        <f>SUM(R47:Z47)</f>
        <v>399669</v>
      </c>
      <c r="AB47" s="55">
        <f>Q47+AA47</f>
        <v>4960210</v>
      </c>
      <c r="AC47" s="42"/>
    </row>
    <row r="48" spans="1:29" ht="28.5">
      <c r="A48" s="218"/>
      <c r="B48" s="3" t="s">
        <v>16</v>
      </c>
      <c r="C48" s="37">
        <v>83407</v>
      </c>
      <c r="D48" s="37">
        <v>47984</v>
      </c>
      <c r="E48" s="57"/>
      <c r="F48" s="37">
        <v>3976</v>
      </c>
      <c r="G48" s="57"/>
      <c r="H48" s="37">
        <v>50967</v>
      </c>
      <c r="I48" s="57"/>
      <c r="J48" s="57"/>
      <c r="K48" s="37">
        <v>29598</v>
      </c>
      <c r="L48" s="37">
        <v>464</v>
      </c>
      <c r="M48" s="37">
        <v>4477</v>
      </c>
      <c r="O48" s="37">
        <v>154</v>
      </c>
      <c r="P48" s="37"/>
      <c r="Q48" s="37">
        <f>SUM(C48:O48)</f>
        <v>221027</v>
      </c>
      <c r="R48" s="55">
        <v>0</v>
      </c>
      <c r="S48" s="55">
        <v>0</v>
      </c>
      <c r="T48" s="55">
        <v>12834</v>
      </c>
      <c r="U48" s="55">
        <v>3093</v>
      </c>
      <c r="V48" s="55">
        <v>1064</v>
      </c>
      <c r="W48" s="55">
        <v>1171</v>
      </c>
      <c r="X48" s="55">
        <v>1772</v>
      </c>
      <c r="Y48" s="55">
        <v>65</v>
      </c>
      <c r="Z48" s="55"/>
      <c r="AA48" s="37">
        <f>SUM(R48:Z48)</f>
        <v>19999</v>
      </c>
      <c r="AB48" s="55">
        <f>Q48+AA48</f>
        <v>241026</v>
      </c>
      <c r="AC48" s="42"/>
    </row>
    <row r="49" spans="1:29">
      <c r="A49" s="219"/>
      <c r="B49" s="40" t="s">
        <v>1</v>
      </c>
      <c r="C49" s="43">
        <f t="shared" ref="C49:I49" si="19">SUM(C47:C48)</f>
        <v>83407</v>
      </c>
      <c r="D49" s="43">
        <f t="shared" si="19"/>
        <v>47984</v>
      </c>
      <c r="E49" s="43">
        <f t="shared" si="19"/>
        <v>2441532</v>
      </c>
      <c r="F49" s="43">
        <f t="shared" si="19"/>
        <v>1260885</v>
      </c>
      <c r="G49" s="43">
        <f t="shared" si="19"/>
        <v>53261</v>
      </c>
      <c r="H49" s="43">
        <f t="shared" si="19"/>
        <v>50967</v>
      </c>
      <c r="I49" s="43">
        <f t="shared" si="19"/>
        <v>195045</v>
      </c>
      <c r="J49" s="43"/>
      <c r="K49" s="43">
        <f>SUM(K47:K48)</f>
        <v>524875</v>
      </c>
      <c r="L49" s="43">
        <f>SUM(L47:L48)</f>
        <v>464</v>
      </c>
      <c r="M49" s="43">
        <f>SUM(M47:M48)</f>
        <v>23391</v>
      </c>
      <c r="N49" s="43">
        <f>SUM(N47:N48)</f>
        <v>0</v>
      </c>
      <c r="O49" s="43">
        <f>SUM(O47:O48)</f>
        <v>99421</v>
      </c>
      <c r="P49" s="43"/>
      <c r="Q49" s="43">
        <f t="shared" ref="Q49:X49" si="20">SUM(Q47:Q48)</f>
        <v>4781568</v>
      </c>
      <c r="R49" s="43">
        <f t="shared" si="20"/>
        <v>0</v>
      </c>
      <c r="S49" s="43">
        <f t="shared" si="20"/>
        <v>0</v>
      </c>
      <c r="T49" s="43">
        <f t="shared" si="20"/>
        <v>93147</v>
      </c>
      <c r="U49" s="43">
        <f t="shared" si="20"/>
        <v>219542</v>
      </c>
      <c r="V49" s="43">
        <f t="shared" si="20"/>
        <v>13000</v>
      </c>
      <c r="W49" s="43">
        <f t="shared" si="20"/>
        <v>55044</v>
      </c>
      <c r="X49" s="43">
        <f t="shared" si="20"/>
        <v>1772</v>
      </c>
      <c r="Y49" s="43">
        <f>SUM(Y47:Y48)</f>
        <v>17329</v>
      </c>
      <c r="Z49" s="43">
        <f>SUM(Z47:Z48)</f>
        <v>19834</v>
      </c>
      <c r="AA49" s="43">
        <f>SUM(AA47:AA48)</f>
        <v>419668</v>
      </c>
      <c r="AB49" s="43">
        <f>SUM(AB47:AB48)</f>
        <v>5201236</v>
      </c>
      <c r="AC49" s="42"/>
    </row>
    <row r="50" spans="1:29" ht="18" hidden="1" customHeight="1">
      <c r="A50" s="217" t="s">
        <v>114</v>
      </c>
      <c r="B50" s="31" t="s">
        <v>5</v>
      </c>
      <c r="C50" s="37"/>
      <c r="D50" s="37"/>
      <c r="E50" s="37">
        <v>2363666</v>
      </c>
      <c r="F50" s="37">
        <v>1282896</v>
      </c>
      <c r="G50" s="37">
        <v>39480</v>
      </c>
      <c r="H50" s="37"/>
      <c r="I50" s="37">
        <v>195000</v>
      </c>
      <c r="J50" s="37"/>
      <c r="K50" s="37">
        <v>479256</v>
      </c>
      <c r="L50" s="37"/>
      <c r="M50" s="37">
        <v>18500</v>
      </c>
      <c r="N50" s="37">
        <v>0</v>
      </c>
      <c r="O50" s="37">
        <v>63495</v>
      </c>
      <c r="P50" s="37">
        <v>0</v>
      </c>
      <c r="Q50" s="37">
        <f>SUM(C50:P50)</f>
        <v>4442293</v>
      </c>
      <c r="R50" s="37"/>
      <c r="S50" s="37"/>
      <c r="T50" s="37">
        <v>133000</v>
      </c>
      <c r="U50" s="37">
        <v>232373</v>
      </c>
      <c r="V50" s="37">
        <v>7000</v>
      </c>
      <c r="W50" s="37">
        <v>80398</v>
      </c>
      <c r="X50" s="37"/>
      <c r="Y50" s="37">
        <v>3825</v>
      </c>
      <c r="Z50" s="37">
        <v>9000</v>
      </c>
      <c r="AA50" s="37">
        <f>SUM(R50:Z50)</f>
        <v>465596</v>
      </c>
      <c r="AB50" s="55">
        <f>Q50+AA50</f>
        <v>4907889</v>
      </c>
      <c r="AC50" s="42"/>
    </row>
    <row r="51" spans="1:29" ht="28.5" hidden="1">
      <c r="A51" s="218"/>
      <c r="B51" s="3" t="s">
        <v>16</v>
      </c>
      <c r="C51" s="37">
        <v>72102</v>
      </c>
      <c r="D51" s="37">
        <v>45269</v>
      </c>
      <c r="E51" s="57"/>
      <c r="F51" s="37"/>
      <c r="G51" s="57"/>
      <c r="H51" s="37">
        <v>45908</v>
      </c>
      <c r="I51" s="57"/>
      <c r="J51" s="57"/>
      <c r="K51" s="37">
        <v>31962</v>
      </c>
      <c r="L51" s="37">
        <v>850</v>
      </c>
      <c r="M51" s="37">
        <v>2500</v>
      </c>
      <c r="O51" s="37"/>
      <c r="P51" s="37"/>
      <c r="Q51" s="37">
        <f>SUM(C51:O51)</f>
        <v>198591</v>
      </c>
      <c r="R51" s="55"/>
      <c r="S51" s="55">
        <v>8000</v>
      </c>
      <c r="T51" s="55">
        <v>3300</v>
      </c>
      <c r="U51" s="55">
        <v>9775</v>
      </c>
      <c r="V51" s="55">
        <v>1726</v>
      </c>
      <c r="W51" s="55">
        <v>2352</v>
      </c>
      <c r="X51" s="55"/>
      <c r="Y51" s="55"/>
      <c r="Z51" s="55"/>
      <c r="AA51" s="37">
        <f>SUM(R51:Z51)</f>
        <v>25153</v>
      </c>
      <c r="AB51" s="55">
        <f>Q51+AA51</f>
        <v>223744</v>
      </c>
      <c r="AC51" s="42"/>
    </row>
    <row r="52" spans="1:29" hidden="1">
      <c r="A52" s="219"/>
      <c r="B52" s="40" t="s">
        <v>1</v>
      </c>
      <c r="C52" s="43">
        <f t="shared" ref="C52:I52" si="21">SUM(C50:C51)</f>
        <v>72102</v>
      </c>
      <c r="D52" s="43">
        <f t="shared" si="21"/>
        <v>45269</v>
      </c>
      <c r="E52" s="43">
        <f t="shared" si="21"/>
        <v>2363666</v>
      </c>
      <c r="F52" s="43">
        <f t="shared" si="21"/>
        <v>1282896</v>
      </c>
      <c r="G52" s="43">
        <f t="shared" si="21"/>
        <v>39480</v>
      </c>
      <c r="H52" s="43">
        <f t="shared" si="21"/>
        <v>45908</v>
      </c>
      <c r="I52" s="43">
        <f t="shared" si="21"/>
        <v>195000</v>
      </c>
      <c r="J52" s="43"/>
      <c r="K52" s="43">
        <f>SUM(K50:K51)</f>
        <v>511218</v>
      </c>
      <c r="L52" s="43">
        <f>SUM(L50:L51)</f>
        <v>850</v>
      </c>
      <c r="M52" s="43">
        <f>SUM(M50:M51)</f>
        <v>21000</v>
      </c>
      <c r="N52" s="43">
        <f>SUM(N50:N51)</f>
        <v>0</v>
      </c>
      <c r="O52" s="43">
        <f>SUM(O50:O51)</f>
        <v>63495</v>
      </c>
      <c r="P52" s="43"/>
      <c r="Q52" s="43">
        <f t="shared" ref="Q52:X52" si="22">SUM(Q50:Q51)</f>
        <v>4640884</v>
      </c>
      <c r="R52" s="43">
        <f t="shared" si="22"/>
        <v>0</v>
      </c>
      <c r="S52" s="43">
        <f t="shared" si="22"/>
        <v>8000</v>
      </c>
      <c r="T52" s="43">
        <f t="shared" si="22"/>
        <v>136300</v>
      </c>
      <c r="U52" s="43">
        <f t="shared" si="22"/>
        <v>242148</v>
      </c>
      <c r="V52" s="43">
        <f t="shared" si="22"/>
        <v>8726</v>
      </c>
      <c r="W52" s="43">
        <f t="shared" si="22"/>
        <v>82750</v>
      </c>
      <c r="X52" s="43">
        <f t="shared" si="22"/>
        <v>0</v>
      </c>
      <c r="Y52" s="43">
        <f>SUM(Y50:Y51)</f>
        <v>3825</v>
      </c>
      <c r="Z52" s="43">
        <f>SUM(Z50:Z51)</f>
        <v>9000</v>
      </c>
      <c r="AA52" s="43">
        <f>SUM(AA50:AA51)</f>
        <v>490749</v>
      </c>
      <c r="AB52" s="43">
        <f>SUM(AB50:AB51)</f>
        <v>5131633</v>
      </c>
      <c r="AC52" s="42"/>
    </row>
    <row r="53" spans="1:29" ht="18" customHeight="1">
      <c r="A53" s="217">
        <v>2016</v>
      </c>
      <c r="B53" s="31" t="s">
        <v>5</v>
      </c>
      <c r="C53" s="37"/>
      <c r="D53" s="37"/>
      <c r="E53" s="37">
        <v>2340452</v>
      </c>
      <c r="F53" s="37">
        <v>1359874</v>
      </c>
      <c r="G53" s="37">
        <v>51332</v>
      </c>
      <c r="H53" s="37"/>
      <c r="I53" s="37">
        <v>196619</v>
      </c>
      <c r="J53" s="37"/>
      <c r="K53" s="37">
        <v>432520</v>
      </c>
      <c r="L53" s="37"/>
      <c r="M53" s="37">
        <v>16055</v>
      </c>
      <c r="N53" s="37"/>
      <c r="O53" s="37">
        <v>95752</v>
      </c>
      <c r="P53" s="37">
        <v>848</v>
      </c>
      <c r="Q53" s="37">
        <f>SUM(C53:P53)</f>
        <v>4493452</v>
      </c>
      <c r="R53" s="37">
        <v>0</v>
      </c>
      <c r="S53" s="37">
        <v>2534</v>
      </c>
      <c r="T53" s="37">
        <v>132956</v>
      </c>
      <c r="U53" s="37">
        <v>213635</v>
      </c>
      <c r="V53" s="37">
        <v>9662</v>
      </c>
      <c r="W53" s="37">
        <v>72343</v>
      </c>
      <c r="X53" s="37"/>
      <c r="Y53" s="37">
        <v>14115</v>
      </c>
      <c r="Z53" s="37">
        <v>39557</v>
      </c>
      <c r="AA53" s="37">
        <f>SUM(R53:Z53)</f>
        <v>484802</v>
      </c>
      <c r="AB53" s="55">
        <f>Q53+AA53</f>
        <v>4978254</v>
      </c>
      <c r="AC53" s="42"/>
    </row>
    <row r="54" spans="1:29" ht="28.5">
      <c r="A54" s="218"/>
      <c r="B54" s="3" t="s">
        <v>16</v>
      </c>
      <c r="C54" s="37">
        <v>76462</v>
      </c>
      <c r="D54" s="37">
        <v>43334</v>
      </c>
      <c r="E54" s="57"/>
      <c r="F54" s="37">
        <v>4409</v>
      </c>
      <c r="G54" s="57"/>
      <c r="H54" s="37">
        <v>55832</v>
      </c>
      <c r="I54" s="57"/>
      <c r="J54" s="57"/>
      <c r="K54" s="37">
        <v>29080</v>
      </c>
      <c r="L54" s="37">
        <v>790</v>
      </c>
      <c r="M54" s="37">
        <v>4876</v>
      </c>
      <c r="O54" s="37">
        <v>158</v>
      </c>
      <c r="P54" s="37"/>
      <c r="Q54" s="37">
        <f>SUM(C54:O54)</f>
        <v>214941</v>
      </c>
      <c r="R54" s="55">
        <v>0</v>
      </c>
      <c r="S54" s="55">
        <v>0</v>
      </c>
      <c r="T54" s="55">
        <v>20</v>
      </c>
      <c r="U54" s="55">
        <v>6062</v>
      </c>
      <c r="V54" s="55">
        <v>1452</v>
      </c>
      <c r="W54" s="55">
        <v>3515</v>
      </c>
      <c r="X54" s="55">
        <v>80</v>
      </c>
      <c r="Y54" s="55">
        <v>42</v>
      </c>
      <c r="Z54" s="55"/>
      <c r="AA54" s="37">
        <f>SUM(R54:Z54)</f>
        <v>11171</v>
      </c>
      <c r="AB54" s="55">
        <f>Q54+AA54</f>
        <v>226112</v>
      </c>
      <c r="AC54" s="42"/>
    </row>
    <row r="55" spans="1:29">
      <c r="A55" s="219"/>
      <c r="B55" s="40" t="s">
        <v>1</v>
      </c>
      <c r="C55" s="43">
        <f t="shared" ref="C55:I55" si="23">SUM(C53:C54)</f>
        <v>76462</v>
      </c>
      <c r="D55" s="43">
        <f t="shared" si="23"/>
        <v>43334</v>
      </c>
      <c r="E55" s="43">
        <f t="shared" si="23"/>
        <v>2340452</v>
      </c>
      <c r="F55" s="43">
        <f t="shared" si="23"/>
        <v>1364283</v>
      </c>
      <c r="G55" s="43">
        <f t="shared" si="23"/>
        <v>51332</v>
      </c>
      <c r="H55" s="43">
        <f t="shared" si="23"/>
        <v>55832</v>
      </c>
      <c r="I55" s="43">
        <f t="shared" si="23"/>
        <v>196619</v>
      </c>
      <c r="J55" s="43"/>
      <c r="K55" s="43">
        <f>SUM(K53:K54)</f>
        <v>461600</v>
      </c>
      <c r="L55" s="43">
        <f>SUM(L53:L54)</f>
        <v>790</v>
      </c>
      <c r="M55" s="43">
        <f>SUM(M53:M54)</f>
        <v>20931</v>
      </c>
      <c r="N55" s="43">
        <f>SUM(N53:N54)</f>
        <v>0</v>
      </c>
      <c r="O55" s="43">
        <f>SUM(O53:O54)</f>
        <v>95910</v>
      </c>
      <c r="P55" s="43"/>
      <c r="Q55" s="43">
        <f t="shared" ref="Q55:X55" si="24">SUM(Q53:Q54)</f>
        <v>4708393</v>
      </c>
      <c r="R55" s="43">
        <f t="shared" si="24"/>
        <v>0</v>
      </c>
      <c r="S55" s="43">
        <f t="shared" si="24"/>
        <v>2534</v>
      </c>
      <c r="T55" s="43">
        <f t="shared" si="24"/>
        <v>132976</v>
      </c>
      <c r="U55" s="43">
        <f t="shared" si="24"/>
        <v>219697</v>
      </c>
      <c r="V55" s="43">
        <f t="shared" si="24"/>
        <v>11114</v>
      </c>
      <c r="W55" s="43">
        <f t="shared" si="24"/>
        <v>75858</v>
      </c>
      <c r="X55" s="43">
        <f t="shared" si="24"/>
        <v>80</v>
      </c>
      <c r="Y55" s="43">
        <f>SUM(Y53:Y54)</f>
        <v>14157</v>
      </c>
      <c r="Z55" s="43">
        <f>SUM(Z53:Z54)</f>
        <v>39557</v>
      </c>
      <c r="AA55" s="43">
        <f>SUM(AA53:AA54)</f>
        <v>495973</v>
      </c>
      <c r="AB55" s="43">
        <f>SUM(AB53:AB54)</f>
        <v>5204366</v>
      </c>
      <c r="AC55" s="42"/>
    </row>
    <row r="56" spans="1:29" ht="18" customHeight="1">
      <c r="A56" s="217">
        <v>2017</v>
      </c>
      <c r="B56" s="31" t="s">
        <v>5</v>
      </c>
      <c r="C56" s="37"/>
      <c r="D56" s="37"/>
      <c r="E56" s="37">
        <v>2338142</v>
      </c>
      <c r="F56" s="37">
        <v>1474982</v>
      </c>
      <c r="G56" s="37">
        <v>53431</v>
      </c>
      <c r="H56" s="37"/>
      <c r="I56" s="37">
        <v>175797</v>
      </c>
      <c r="J56" s="37"/>
      <c r="K56" s="37">
        <v>419111</v>
      </c>
      <c r="L56" s="37"/>
      <c r="M56" s="37">
        <v>17319</v>
      </c>
      <c r="N56" s="37"/>
      <c r="O56" s="37">
        <v>57635</v>
      </c>
      <c r="P56" s="37">
        <v>3450</v>
      </c>
      <c r="Q56" s="37">
        <f>SUM(C56:P56)</f>
        <v>4539867</v>
      </c>
      <c r="R56" s="37">
        <v>0</v>
      </c>
      <c r="S56" s="37">
        <v>6984</v>
      </c>
      <c r="T56" s="37">
        <v>354061</v>
      </c>
      <c r="U56" s="37">
        <v>319839</v>
      </c>
      <c r="V56" s="37">
        <v>12394</v>
      </c>
      <c r="W56" s="37">
        <v>107238</v>
      </c>
      <c r="X56" s="37"/>
      <c r="Y56" s="37">
        <v>18213</v>
      </c>
      <c r="Z56" s="37">
        <v>42118</v>
      </c>
      <c r="AA56" s="37">
        <f>SUM(R56:Z56)</f>
        <v>860847</v>
      </c>
      <c r="AB56" s="55">
        <f>Q56+AA56</f>
        <v>5400714</v>
      </c>
      <c r="AC56" s="42"/>
    </row>
    <row r="57" spans="1:29" ht="28.5">
      <c r="A57" s="218"/>
      <c r="B57" s="3" t="s">
        <v>16</v>
      </c>
      <c r="C57" s="37">
        <v>86145</v>
      </c>
      <c r="D57" s="37">
        <v>40701</v>
      </c>
      <c r="E57" s="57"/>
      <c r="F57" s="37">
        <v>1567</v>
      </c>
      <c r="G57" s="57"/>
      <c r="H57" s="37">
        <v>57088</v>
      </c>
      <c r="I57" s="57"/>
      <c r="J57" s="57"/>
      <c r="K57" s="37">
        <v>30045</v>
      </c>
      <c r="L57" s="37">
        <v>840</v>
      </c>
      <c r="M57" s="37">
        <v>4035</v>
      </c>
      <c r="O57" s="37">
        <v>5625</v>
      </c>
      <c r="P57" s="37"/>
      <c r="Q57" s="37">
        <f>SUM(C57:O57)</f>
        <v>226046</v>
      </c>
      <c r="R57" s="55">
        <v>0</v>
      </c>
      <c r="S57" s="55"/>
      <c r="T57" s="55">
        <v>9430</v>
      </c>
      <c r="U57" s="55">
        <v>4229</v>
      </c>
      <c r="V57" s="55">
        <v>750</v>
      </c>
      <c r="W57" s="55">
        <v>3432</v>
      </c>
      <c r="X57" s="55"/>
      <c r="Y57" s="55"/>
      <c r="Z57" s="55"/>
      <c r="AA57" s="37">
        <v>17841</v>
      </c>
      <c r="AB57" s="55">
        <f>Q57+AA57</f>
        <v>243887</v>
      </c>
      <c r="AC57" s="42"/>
    </row>
    <row r="58" spans="1:29">
      <c r="A58" s="219"/>
      <c r="B58" s="40" t="s">
        <v>1</v>
      </c>
      <c r="C58" s="43">
        <f t="shared" ref="C58:I58" si="25">SUM(C56:C57)</f>
        <v>86145</v>
      </c>
      <c r="D58" s="43">
        <f t="shared" si="25"/>
        <v>40701</v>
      </c>
      <c r="E58" s="43">
        <f t="shared" si="25"/>
        <v>2338142</v>
      </c>
      <c r="F58" s="43">
        <f t="shared" si="25"/>
        <v>1476549</v>
      </c>
      <c r="G58" s="43">
        <f t="shared" si="25"/>
        <v>53431</v>
      </c>
      <c r="H58" s="43">
        <f t="shared" si="25"/>
        <v>57088</v>
      </c>
      <c r="I58" s="43">
        <f t="shared" si="25"/>
        <v>175797</v>
      </c>
      <c r="J58" s="43"/>
      <c r="K58" s="43">
        <f>SUM(K56:K57)</f>
        <v>449156</v>
      </c>
      <c r="L58" s="43">
        <f>SUM(L56:L57)</f>
        <v>840</v>
      </c>
      <c r="M58" s="43">
        <f>SUM(M56:M57)</f>
        <v>21354</v>
      </c>
      <c r="N58" s="43">
        <f>SUM(N56:N57)</f>
        <v>0</v>
      </c>
      <c r="O58" s="43">
        <f>SUM(O56:O57)</f>
        <v>63260</v>
      </c>
      <c r="P58" s="43"/>
      <c r="Q58" s="43">
        <f t="shared" ref="Q58:X58" si="26">SUM(Q56:Q57)</f>
        <v>4765913</v>
      </c>
      <c r="R58" s="43">
        <f t="shared" si="26"/>
        <v>0</v>
      </c>
      <c r="S58" s="43">
        <f t="shared" si="26"/>
        <v>6984</v>
      </c>
      <c r="T58" s="43">
        <f t="shared" si="26"/>
        <v>363491</v>
      </c>
      <c r="U58" s="43">
        <f t="shared" si="26"/>
        <v>324068</v>
      </c>
      <c r="V58" s="43">
        <f t="shared" si="26"/>
        <v>13144</v>
      </c>
      <c r="W58" s="43">
        <f t="shared" si="26"/>
        <v>110670</v>
      </c>
      <c r="X58" s="43">
        <f t="shared" si="26"/>
        <v>0</v>
      </c>
      <c r="Y58" s="43">
        <f>SUM(Y56:Y57)</f>
        <v>18213</v>
      </c>
      <c r="Z58" s="43">
        <f>SUM(Z56:Z57)</f>
        <v>42118</v>
      </c>
      <c r="AA58" s="43">
        <f>SUM(AA56:AA57)</f>
        <v>878688</v>
      </c>
      <c r="AB58" s="43">
        <f>SUM(AB56:AB57)</f>
        <v>5644601</v>
      </c>
      <c r="AC58" s="42"/>
    </row>
    <row r="59" spans="1:29" ht="18" customHeight="1">
      <c r="A59" s="217">
        <v>2018</v>
      </c>
      <c r="B59" s="31" t="s">
        <v>5</v>
      </c>
      <c r="C59" s="37"/>
      <c r="D59" s="37"/>
      <c r="E59" s="37">
        <v>2690940</v>
      </c>
      <c r="F59" s="37">
        <v>1680315</v>
      </c>
      <c r="G59" s="37">
        <v>49997</v>
      </c>
      <c r="H59" s="37"/>
      <c r="I59" s="37">
        <v>208968</v>
      </c>
      <c r="J59" s="37"/>
      <c r="K59" s="37">
        <v>481728</v>
      </c>
      <c r="L59" s="37"/>
      <c r="M59" s="37">
        <v>17966</v>
      </c>
      <c r="N59" s="37">
        <v>424</v>
      </c>
      <c r="O59" s="37">
        <v>99585</v>
      </c>
      <c r="P59" s="37">
        <v>11</v>
      </c>
      <c r="Q59" s="37">
        <f>SUM(C59:P59)</f>
        <v>5229934</v>
      </c>
      <c r="R59" s="37">
        <v>0</v>
      </c>
      <c r="S59" s="37">
        <v>2853</v>
      </c>
      <c r="T59" s="37">
        <v>237743</v>
      </c>
      <c r="U59" s="37">
        <v>284388</v>
      </c>
      <c r="V59" s="37">
        <v>10979</v>
      </c>
      <c r="W59" s="37">
        <v>99120</v>
      </c>
      <c r="X59" s="37"/>
      <c r="Y59" s="37">
        <v>12343</v>
      </c>
      <c r="Z59" s="37">
        <v>39625</v>
      </c>
      <c r="AA59" s="37">
        <f>SUM(R59:Z59)</f>
        <v>687051</v>
      </c>
      <c r="AB59" s="55">
        <f>Q59+AA59</f>
        <v>5916985</v>
      </c>
      <c r="AC59" s="42"/>
    </row>
    <row r="60" spans="1:29" ht="28.5">
      <c r="A60" s="218"/>
      <c r="B60" s="3" t="s">
        <v>16</v>
      </c>
      <c r="C60" s="37">
        <v>81259</v>
      </c>
      <c r="D60" s="37">
        <v>45440</v>
      </c>
      <c r="E60" s="57"/>
      <c r="F60" s="37">
        <v>511</v>
      </c>
      <c r="G60" s="57"/>
      <c r="H60" s="37">
        <v>63888</v>
      </c>
      <c r="I60" s="57"/>
      <c r="J60" s="57"/>
      <c r="K60" s="37">
        <v>31938</v>
      </c>
      <c r="L60" s="37">
        <v>1122</v>
      </c>
      <c r="M60" s="37">
        <v>4189</v>
      </c>
      <c r="O60" s="37">
        <v>8855</v>
      </c>
      <c r="P60" s="37"/>
      <c r="Q60" s="37">
        <f>SUM(C60:O60)</f>
        <v>237202</v>
      </c>
      <c r="R60" s="55">
        <v>0</v>
      </c>
      <c r="S60" s="55">
        <v>4010</v>
      </c>
      <c r="T60" s="55">
        <v>36934</v>
      </c>
      <c r="U60" s="55">
        <v>10353</v>
      </c>
      <c r="V60" s="55">
        <v>615</v>
      </c>
      <c r="W60" s="55">
        <v>4982</v>
      </c>
      <c r="X60" s="55"/>
      <c r="Y60" s="55">
        <v>235</v>
      </c>
      <c r="Z60" s="55">
        <v>18353</v>
      </c>
      <c r="AA60" s="37">
        <v>17841</v>
      </c>
      <c r="AB60" s="55">
        <f>Q60+AA60</f>
        <v>255043</v>
      </c>
      <c r="AC60" s="42"/>
    </row>
    <row r="61" spans="1:29">
      <c r="A61" s="219"/>
      <c r="B61" s="40" t="s">
        <v>1</v>
      </c>
      <c r="C61" s="43">
        <f t="shared" ref="C61:I61" si="27">SUM(C59:C60)</f>
        <v>81259</v>
      </c>
      <c r="D61" s="43">
        <f t="shared" si="27"/>
        <v>45440</v>
      </c>
      <c r="E61" s="43">
        <f t="shared" si="27"/>
        <v>2690940</v>
      </c>
      <c r="F61" s="43">
        <f t="shared" si="27"/>
        <v>1680826</v>
      </c>
      <c r="G61" s="43">
        <f t="shared" si="27"/>
        <v>49997</v>
      </c>
      <c r="H61" s="43">
        <f t="shared" si="27"/>
        <v>63888</v>
      </c>
      <c r="I61" s="43">
        <f t="shared" si="27"/>
        <v>208968</v>
      </c>
      <c r="J61" s="43"/>
      <c r="K61" s="43">
        <f>SUM(K59:K60)</f>
        <v>513666</v>
      </c>
      <c r="L61" s="43">
        <f>SUM(L59:L60)</f>
        <v>1122</v>
      </c>
      <c r="M61" s="43">
        <f>SUM(M59:M60)</f>
        <v>22155</v>
      </c>
      <c r="N61" s="43">
        <f>SUM(N59:N60)</f>
        <v>424</v>
      </c>
      <c r="O61" s="43">
        <f>SUM(O59:O60)</f>
        <v>108440</v>
      </c>
      <c r="P61" s="43"/>
      <c r="Q61" s="43">
        <f t="shared" ref="Q61:X61" si="28">SUM(Q59:Q60)</f>
        <v>5467136</v>
      </c>
      <c r="R61" s="43">
        <f t="shared" si="28"/>
        <v>0</v>
      </c>
      <c r="S61" s="43">
        <f t="shared" si="28"/>
        <v>6863</v>
      </c>
      <c r="T61" s="43">
        <f t="shared" si="28"/>
        <v>274677</v>
      </c>
      <c r="U61" s="43">
        <f t="shared" si="28"/>
        <v>294741</v>
      </c>
      <c r="V61" s="43">
        <f t="shared" si="28"/>
        <v>11594</v>
      </c>
      <c r="W61" s="43">
        <f t="shared" si="28"/>
        <v>104102</v>
      </c>
      <c r="X61" s="43">
        <f t="shared" si="28"/>
        <v>0</v>
      </c>
      <c r="Y61" s="43">
        <f>SUM(Y59:Y60)</f>
        <v>12578</v>
      </c>
      <c r="Z61" s="43">
        <f>SUM(Z59:Z60)</f>
        <v>57978</v>
      </c>
      <c r="AA61" s="43">
        <f>SUM(AA59:AA60)</f>
        <v>704892</v>
      </c>
      <c r="AB61" s="43">
        <f>SUM(AB59:AB60)</f>
        <v>6172028</v>
      </c>
      <c r="AC61" s="42"/>
    </row>
    <row r="62" spans="1:29">
      <c r="A62" s="217">
        <v>2019</v>
      </c>
      <c r="B62" s="31" t="s">
        <v>5</v>
      </c>
      <c r="C62" s="37"/>
      <c r="D62" s="37"/>
      <c r="E62" s="37">
        <v>2849056</v>
      </c>
      <c r="F62" s="37">
        <v>1667163</v>
      </c>
      <c r="G62" s="37">
        <v>58675</v>
      </c>
      <c r="H62" s="37"/>
      <c r="I62" s="37">
        <v>185367</v>
      </c>
      <c r="J62" s="37"/>
      <c r="K62" s="37">
        <v>400939</v>
      </c>
      <c r="L62" s="37"/>
      <c r="M62" s="37">
        <v>19254</v>
      </c>
      <c r="N62" s="37">
        <v>1300</v>
      </c>
      <c r="O62" s="37">
        <v>105076</v>
      </c>
      <c r="P62" s="37">
        <v>17</v>
      </c>
      <c r="Q62" s="37">
        <f>SUM(C62:P62)</f>
        <v>5286847</v>
      </c>
      <c r="R62" s="37">
        <v>0</v>
      </c>
      <c r="S62" s="37">
        <v>256</v>
      </c>
      <c r="T62" s="37">
        <v>300370</v>
      </c>
      <c r="U62" s="37">
        <v>299614</v>
      </c>
      <c r="V62" s="37">
        <v>18256</v>
      </c>
      <c r="W62" s="37">
        <v>95227</v>
      </c>
      <c r="X62" s="37"/>
      <c r="Y62" s="37">
        <v>16488</v>
      </c>
      <c r="Z62" s="188">
        <v>62435</v>
      </c>
      <c r="AA62" s="37">
        <f>SUM(R62:Z62)</f>
        <v>792646</v>
      </c>
      <c r="AB62" s="55">
        <f>Q62+AA62</f>
        <v>6079493</v>
      </c>
    </row>
    <row r="63" spans="1:29" ht="28.5">
      <c r="A63" s="218"/>
      <c r="B63" s="3" t="s">
        <v>16</v>
      </c>
      <c r="C63" s="37">
        <v>95457</v>
      </c>
      <c r="D63" s="37">
        <v>53240</v>
      </c>
      <c r="E63" s="57"/>
      <c r="F63" s="37">
        <v>834</v>
      </c>
      <c r="G63" s="57"/>
      <c r="H63" s="37">
        <v>66039</v>
      </c>
      <c r="I63" s="57"/>
      <c r="J63" s="57"/>
      <c r="K63" s="37">
        <v>29816</v>
      </c>
      <c r="L63" s="37">
        <v>1064</v>
      </c>
      <c r="M63" s="37">
        <v>9949</v>
      </c>
      <c r="O63" s="37"/>
      <c r="P63" s="37"/>
      <c r="Q63" s="37">
        <f>SUM(C63:O63)</f>
        <v>256399</v>
      </c>
      <c r="R63" s="55">
        <v>0</v>
      </c>
      <c r="S63" s="55">
        <v>4362</v>
      </c>
      <c r="T63" s="55">
        <v>19689</v>
      </c>
      <c r="U63" s="55">
        <v>27058</v>
      </c>
      <c r="V63" s="55">
        <v>1740</v>
      </c>
      <c r="W63" s="55">
        <v>4950</v>
      </c>
      <c r="X63" s="55"/>
      <c r="Y63" s="55"/>
      <c r="Z63" s="189"/>
      <c r="AA63" s="37">
        <f>SUM(R63:Z63)</f>
        <v>57799</v>
      </c>
      <c r="AB63" s="55">
        <f>Q63+AA63</f>
        <v>314198</v>
      </c>
    </row>
    <row r="64" spans="1:29">
      <c r="A64" s="219"/>
      <c r="B64" s="40" t="s">
        <v>1</v>
      </c>
      <c r="C64" s="43">
        <f t="shared" ref="C64:I64" si="29">SUM(C62:C63)</f>
        <v>95457</v>
      </c>
      <c r="D64" s="43">
        <f t="shared" si="29"/>
        <v>53240</v>
      </c>
      <c r="E64" s="43">
        <f t="shared" si="29"/>
        <v>2849056</v>
      </c>
      <c r="F64" s="43">
        <f t="shared" si="29"/>
        <v>1667997</v>
      </c>
      <c r="G64" s="43">
        <f t="shared" si="29"/>
        <v>58675</v>
      </c>
      <c r="H64" s="43">
        <f t="shared" si="29"/>
        <v>66039</v>
      </c>
      <c r="I64" s="43">
        <f t="shared" si="29"/>
        <v>185367</v>
      </c>
      <c r="J64" s="43"/>
      <c r="K64" s="43">
        <f>SUM(K62:K63)</f>
        <v>430755</v>
      </c>
      <c r="L64" s="43">
        <f>SUM(L62:L63)</f>
        <v>1064</v>
      </c>
      <c r="M64" s="43">
        <f>SUM(M62:M63)</f>
        <v>29203</v>
      </c>
      <c r="N64" s="43">
        <f>SUM(N62:N63)</f>
        <v>1300</v>
      </c>
      <c r="O64" s="43">
        <f>SUM(O62:O63)</f>
        <v>105076</v>
      </c>
      <c r="P64" s="43"/>
      <c r="Q64" s="43">
        <f t="shared" ref="Q64:X64" si="30">SUM(Q62:Q63)</f>
        <v>5543246</v>
      </c>
      <c r="R64" s="43">
        <f t="shared" si="30"/>
        <v>0</v>
      </c>
      <c r="S64" s="43">
        <f t="shared" si="30"/>
        <v>4618</v>
      </c>
      <c r="T64" s="43">
        <f t="shared" si="30"/>
        <v>320059</v>
      </c>
      <c r="U64" s="43">
        <f t="shared" si="30"/>
        <v>326672</v>
      </c>
      <c r="V64" s="43">
        <f t="shared" si="30"/>
        <v>19996</v>
      </c>
      <c r="W64" s="43">
        <f t="shared" si="30"/>
        <v>100177</v>
      </c>
      <c r="X64" s="43">
        <f t="shared" si="30"/>
        <v>0</v>
      </c>
      <c r="Y64" s="43">
        <f>SUM(Y62:Y63)</f>
        <v>16488</v>
      </c>
      <c r="Z64" s="43">
        <f>SUM(Z62:Z63)</f>
        <v>62435</v>
      </c>
      <c r="AA64" s="43">
        <f>SUM(AA62:AA63)</f>
        <v>850445</v>
      </c>
      <c r="AB64" s="43">
        <f>SUM(AB62:AB63)</f>
        <v>6393691</v>
      </c>
    </row>
    <row r="65" spans="1:28">
      <c r="A65" s="217">
        <v>2020</v>
      </c>
      <c r="B65" s="31" t="s">
        <v>5</v>
      </c>
      <c r="C65" s="37"/>
      <c r="D65" s="37"/>
      <c r="E65" s="37">
        <v>2738071</v>
      </c>
      <c r="F65" s="37">
        <v>1701767</v>
      </c>
      <c r="G65" s="37">
        <v>70530</v>
      </c>
      <c r="H65" s="37"/>
      <c r="I65" s="37">
        <v>179666</v>
      </c>
      <c r="J65" s="37"/>
      <c r="K65" s="37">
        <v>415438</v>
      </c>
      <c r="L65" s="37"/>
      <c r="M65" s="37">
        <v>19658</v>
      </c>
      <c r="N65" s="37">
        <v>1111</v>
      </c>
      <c r="O65" s="37">
        <v>112155</v>
      </c>
      <c r="P65" s="37"/>
      <c r="Q65" s="37">
        <f>SUM(C65:P65)</f>
        <v>5238396</v>
      </c>
      <c r="R65" s="37">
        <v>0</v>
      </c>
      <c r="S65" s="37">
        <v>2523</v>
      </c>
      <c r="T65" s="37">
        <v>247520</v>
      </c>
      <c r="U65" s="37">
        <v>330982</v>
      </c>
      <c r="V65" s="37">
        <v>8522</v>
      </c>
      <c r="W65" s="37">
        <v>66630</v>
      </c>
      <c r="X65" s="37"/>
      <c r="Y65" s="37">
        <v>11853</v>
      </c>
      <c r="Z65" s="188">
        <v>40708</v>
      </c>
      <c r="AA65" s="37">
        <f>SUM(R65:Z65)</f>
        <v>708738</v>
      </c>
      <c r="AB65" s="55">
        <f>Q65+AA65</f>
        <v>5947134</v>
      </c>
    </row>
    <row r="66" spans="1:28" ht="28.5">
      <c r="A66" s="218"/>
      <c r="B66" s="3" t="s">
        <v>16</v>
      </c>
      <c r="C66" s="37">
        <v>103414</v>
      </c>
      <c r="D66" s="37">
        <v>51735</v>
      </c>
      <c r="E66" s="57"/>
      <c r="F66" s="37">
        <v>5773</v>
      </c>
      <c r="G66" s="57"/>
      <c r="H66" s="37">
        <v>62616</v>
      </c>
      <c r="I66" s="57"/>
      <c r="J66" s="57"/>
      <c r="K66" s="37">
        <v>30939</v>
      </c>
      <c r="L66" s="37">
        <v>1112</v>
      </c>
      <c r="M66" s="37">
        <v>6016</v>
      </c>
      <c r="O66" s="37"/>
      <c r="P66" s="37"/>
      <c r="Q66" s="37">
        <f>SUM(C66:O66)</f>
        <v>261605</v>
      </c>
      <c r="R66" s="55">
        <v>0</v>
      </c>
      <c r="S66" s="55">
        <v>2933</v>
      </c>
      <c r="T66" s="55">
        <v>15368</v>
      </c>
      <c r="U66" s="55">
        <v>3214</v>
      </c>
      <c r="V66" s="55">
        <v>1268</v>
      </c>
      <c r="W66" s="55">
        <v>2636</v>
      </c>
      <c r="X66" s="55"/>
      <c r="Y66" s="55"/>
      <c r="Z66" s="189">
        <v>911</v>
      </c>
      <c r="AA66" s="37">
        <f>SUM(R66:Z66)</f>
        <v>26330</v>
      </c>
      <c r="AB66" s="55">
        <f>Q66+AA66</f>
        <v>287935</v>
      </c>
    </row>
    <row r="67" spans="1:28">
      <c r="A67" s="219"/>
      <c r="B67" s="40" t="s">
        <v>1</v>
      </c>
      <c r="C67" s="43">
        <f t="shared" ref="C67:I67" si="31">SUM(C65:C66)</f>
        <v>103414</v>
      </c>
      <c r="D67" s="43">
        <f t="shared" si="31"/>
        <v>51735</v>
      </c>
      <c r="E67" s="43">
        <f t="shared" si="31"/>
        <v>2738071</v>
      </c>
      <c r="F67" s="43">
        <f t="shared" si="31"/>
        <v>1707540</v>
      </c>
      <c r="G67" s="43">
        <f t="shared" si="31"/>
        <v>70530</v>
      </c>
      <c r="H67" s="43">
        <f t="shared" si="31"/>
        <v>62616</v>
      </c>
      <c r="I67" s="43">
        <f t="shared" si="31"/>
        <v>179666</v>
      </c>
      <c r="J67" s="43"/>
      <c r="K67" s="43">
        <f>SUM(K65:K66)</f>
        <v>446377</v>
      </c>
      <c r="L67" s="43">
        <f>SUM(L65:L66)</f>
        <v>1112</v>
      </c>
      <c r="M67" s="43">
        <f>SUM(M65:M66)</f>
        <v>25674</v>
      </c>
      <c r="N67" s="43">
        <f>SUM(N65:N66)</f>
        <v>1111</v>
      </c>
      <c r="O67" s="43">
        <f>SUM(O65:O66)</f>
        <v>112155</v>
      </c>
      <c r="P67" s="43"/>
      <c r="Q67" s="43">
        <f t="shared" ref="Q67:X67" si="32">SUM(Q65:Q66)</f>
        <v>5500001</v>
      </c>
      <c r="R67" s="43">
        <f t="shared" si="32"/>
        <v>0</v>
      </c>
      <c r="S67" s="43">
        <f t="shared" si="32"/>
        <v>5456</v>
      </c>
      <c r="T67" s="43">
        <f t="shared" si="32"/>
        <v>262888</v>
      </c>
      <c r="U67" s="43">
        <f t="shared" si="32"/>
        <v>334196</v>
      </c>
      <c r="V67" s="43">
        <f t="shared" si="32"/>
        <v>9790</v>
      </c>
      <c r="W67" s="43">
        <f t="shared" si="32"/>
        <v>69266</v>
      </c>
      <c r="X67" s="43">
        <f t="shared" si="32"/>
        <v>0</v>
      </c>
      <c r="Y67" s="43">
        <f>SUM(Y65:Y66)</f>
        <v>11853</v>
      </c>
      <c r="Z67" s="43">
        <f>SUM(Z65:Z66)</f>
        <v>41619</v>
      </c>
      <c r="AA67" s="43">
        <f>SUM(AA65:AA66)</f>
        <v>735068</v>
      </c>
      <c r="AB67" s="43">
        <f>SUM(AB65:AB66)</f>
        <v>6235069</v>
      </c>
    </row>
    <row r="68" spans="1:28">
      <c r="A68" s="217">
        <v>2021</v>
      </c>
      <c r="B68" s="31" t="s">
        <v>5</v>
      </c>
      <c r="C68" s="37"/>
      <c r="D68" s="37"/>
      <c r="E68" s="37">
        <v>2765115</v>
      </c>
      <c r="F68" s="37">
        <v>1706380</v>
      </c>
      <c r="G68" s="37">
        <v>61639</v>
      </c>
      <c r="H68" s="37"/>
      <c r="I68" s="37">
        <v>194792</v>
      </c>
      <c r="J68" s="37"/>
      <c r="K68" s="37">
        <v>414750</v>
      </c>
      <c r="L68" s="37"/>
      <c r="M68" s="37">
        <v>19279</v>
      </c>
      <c r="N68" s="37">
        <v>1215</v>
      </c>
      <c r="O68" s="37">
        <v>133383</v>
      </c>
      <c r="P68" s="37">
        <v>61</v>
      </c>
      <c r="Q68" s="37">
        <f>SUM(C68:P68)</f>
        <v>5296614</v>
      </c>
      <c r="R68" s="37">
        <v>0</v>
      </c>
      <c r="S68" s="37">
        <v>1814</v>
      </c>
      <c r="T68" s="37">
        <v>33718</v>
      </c>
      <c r="U68" s="37">
        <v>296656</v>
      </c>
      <c r="V68" s="37">
        <v>29441</v>
      </c>
      <c r="W68" s="37">
        <v>107423</v>
      </c>
      <c r="X68" s="37"/>
      <c r="Y68" s="37">
        <v>14028</v>
      </c>
      <c r="Z68" s="188">
        <v>16412</v>
      </c>
      <c r="AA68" s="37">
        <f>SUM(R68:Z68)</f>
        <v>499492</v>
      </c>
      <c r="AB68" s="55">
        <f>Q68+AA68</f>
        <v>5796106</v>
      </c>
    </row>
    <row r="69" spans="1:28" ht="28.5">
      <c r="A69" s="218"/>
      <c r="B69" s="3" t="s">
        <v>16</v>
      </c>
      <c r="C69" s="37">
        <v>93639</v>
      </c>
      <c r="D69" s="37">
        <v>55271</v>
      </c>
      <c r="E69" s="57"/>
      <c r="F69" s="37">
        <v>3612</v>
      </c>
      <c r="G69" s="57"/>
      <c r="H69" s="37">
        <v>58249</v>
      </c>
      <c r="I69" s="57"/>
      <c r="J69" s="57"/>
      <c r="K69" s="37">
        <v>30829</v>
      </c>
      <c r="L69" s="37">
        <v>1562</v>
      </c>
      <c r="M69" s="37"/>
      <c r="O69" s="37"/>
      <c r="P69" s="37"/>
      <c r="Q69" s="37">
        <f>SUM(C69:O69)</f>
        <v>243162</v>
      </c>
      <c r="R69" s="55">
        <v>0</v>
      </c>
      <c r="S69" s="55">
        <v>16703</v>
      </c>
      <c r="T69" s="55">
        <v>12007</v>
      </c>
      <c r="U69" s="55">
        <v>4876</v>
      </c>
      <c r="V69" s="55">
        <v>814</v>
      </c>
      <c r="W69" s="55">
        <v>1052</v>
      </c>
      <c r="X69" s="55"/>
      <c r="Y69" s="55"/>
      <c r="Z69" s="189"/>
      <c r="AA69" s="37">
        <f>SUM(R69:Z69)</f>
        <v>35452</v>
      </c>
      <c r="AB69" s="55">
        <f>Q69+AA69</f>
        <v>278614</v>
      </c>
    </row>
    <row r="70" spans="1:28">
      <c r="A70" s="219"/>
      <c r="B70" s="40" t="s">
        <v>1</v>
      </c>
      <c r="C70" s="43">
        <f t="shared" ref="C70:I70" si="33">SUM(C68:C69)</f>
        <v>93639</v>
      </c>
      <c r="D70" s="43">
        <f t="shared" si="33"/>
        <v>55271</v>
      </c>
      <c r="E70" s="43">
        <f t="shared" si="33"/>
        <v>2765115</v>
      </c>
      <c r="F70" s="43">
        <f t="shared" si="33"/>
        <v>1709992</v>
      </c>
      <c r="G70" s="43">
        <f t="shared" si="33"/>
        <v>61639</v>
      </c>
      <c r="H70" s="43">
        <f t="shared" si="33"/>
        <v>58249</v>
      </c>
      <c r="I70" s="43">
        <f t="shared" si="33"/>
        <v>194792</v>
      </c>
      <c r="J70" s="43"/>
      <c r="K70" s="43">
        <f>SUM(K68:K69)</f>
        <v>445579</v>
      </c>
      <c r="L70" s="43">
        <f>SUM(L68:L69)</f>
        <v>1562</v>
      </c>
      <c r="M70" s="43">
        <f>SUM(M68:M69)</f>
        <v>19279</v>
      </c>
      <c r="N70" s="43">
        <f>SUM(N68:N69)</f>
        <v>1215</v>
      </c>
      <c r="O70" s="43">
        <f>SUM(O68:O69)</f>
        <v>133383</v>
      </c>
      <c r="P70" s="43"/>
      <c r="Q70" s="43">
        <f t="shared" ref="Q70:X70" si="34">SUM(Q68:Q69)</f>
        <v>5539776</v>
      </c>
      <c r="R70" s="43">
        <f t="shared" si="34"/>
        <v>0</v>
      </c>
      <c r="S70" s="43">
        <f t="shared" si="34"/>
        <v>18517</v>
      </c>
      <c r="T70" s="43">
        <f t="shared" si="34"/>
        <v>45725</v>
      </c>
      <c r="U70" s="43">
        <f t="shared" si="34"/>
        <v>301532</v>
      </c>
      <c r="V70" s="43">
        <f t="shared" si="34"/>
        <v>30255</v>
      </c>
      <c r="W70" s="43">
        <f t="shared" si="34"/>
        <v>108475</v>
      </c>
      <c r="X70" s="43">
        <f t="shared" si="34"/>
        <v>0</v>
      </c>
      <c r="Y70" s="43">
        <f>SUM(Y68:Y69)</f>
        <v>14028</v>
      </c>
      <c r="Z70" s="43">
        <f>SUM(Z68:Z69)</f>
        <v>16412</v>
      </c>
      <c r="AA70" s="43">
        <f>SUM(AA68:AA69)</f>
        <v>534944</v>
      </c>
      <c r="AB70" s="43">
        <f>SUM(AB68:AB69)</f>
        <v>6074720</v>
      </c>
    </row>
    <row r="71" spans="1:28">
      <c r="A71" s="217">
        <v>2022</v>
      </c>
      <c r="B71" s="31" t="s">
        <v>5</v>
      </c>
      <c r="C71" s="37"/>
      <c r="D71" s="37"/>
      <c r="E71" s="37">
        <v>2982176</v>
      </c>
      <c r="F71" s="37">
        <v>1971514</v>
      </c>
      <c r="G71" s="37">
        <v>71760</v>
      </c>
      <c r="H71" s="37"/>
      <c r="I71" s="37">
        <v>215282</v>
      </c>
      <c r="J71" s="37"/>
      <c r="K71" s="37">
        <v>432692</v>
      </c>
      <c r="L71" s="37"/>
      <c r="M71" s="37">
        <v>21302</v>
      </c>
      <c r="N71" s="37">
        <v>2538</v>
      </c>
      <c r="O71" s="37">
        <v>155174</v>
      </c>
      <c r="P71" s="37">
        <v>40</v>
      </c>
      <c r="Q71" s="37">
        <f>SUM(C71:P71)</f>
        <v>5852478</v>
      </c>
      <c r="R71" s="37">
        <v>0</v>
      </c>
      <c r="S71" s="37">
        <v>2482</v>
      </c>
      <c r="T71" s="37">
        <v>78729</v>
      </c>
      <c r="U71" s="37">
        <v>455235</v>
      </c>
      <c r="V71" s="37">
        <v>24700</v>
      </c>
      <c r="W71" s="37">
        <v>132658</v>
      </c>
      <c r="X71" s="37"/>
      <c r="Y71" s="37">
        <v>12048</v>
      </c>
      <c r="Z71" s="188">
        <v>480139</v>
      </c>
      <c r="AA71" s="37">
        <f>SUM(R71:Z71)</f>
        <v>1185991</v>
      </c>
      <c r="AB71" s="55">
        <f>Q71+AA71</f>
        <v>7038469</v>
      </c>
    </row>
    <row r="72" spans="1:28" ht="28.5">
      <c r="A72" s="218"/>
      <c r="B72" s="3" t="s">
        <v>16</v>
      </c>
      <c r="C72" s="37">
        <v>103448</v>
      </c>
      <c r="D72" s="37">
        <v>64759</v>
      </c>
      <c r="E72" s="57"/>
      <c r="F72" s="37">
        <v>6510</v>
      </c>
      <c r="G72" s="57"/>
      <c r="H72" s="37">
        <v>59262</v>
      </c>
      <c r="I72" s="57"/>
      <c r="J72" s="57"/>
      <c r="K72" s="37">
        <v>31318</v>
      </c>
      <c r="L72" s="37">
        <v>1549</v>
      </c>
      <c r="M72" s="37">
        <v>575</v>
      </c>
      <c r="O72" s="37">
        <v>361</v>
      </c>
      <c r="P72" s="37"/>
      <c r="Q72" s="37">
        <f>SUM(C72:O72)</f>
        <v>267782</v>
      </c>
      <c r="R72" s="55">
        <v>0</v>
      </c>
      <c r="S72" s="55">
        <v>10619</v>
      </c>
      <c r="T72" s="55">
        <v>33762</v>
      </c>
      <c r="U72" s="55">
        <v>2573</v>
      </c>
      <c r="V72" s="55">
        <v>593</v>
      </c>
      <c r="W72" s="55">
        <v>3942</v>
      </c>
      <c r="X72" s="55"/>
      <c r="Y72" s="55"/>
      <c r="Z72" s="189"/>
      <c r="AA72" s="37">
        <f>SUM(R72:Z72)</f>
        <v>51489</v>
      </c>
      <c r="AB72" s="55">
        <f>Q72+AA72</f>
        <v>319271</v>
      </c>
    </row>
    <row r="73" spans="1:28">
      <c r="A73" s="219"/>
      <c r="B73" s="40" t="s">
        <v>1</v>
      </c>
      <c r="C73" s="43">
        <f t="shared" ref="C73:I73" si="35">SUM(C71:C72)</f>
        <v>103448</v>
      </c>
      <c r="D73" s="43">
        <f t="shared" si="35"/>
        <v>64759</v>
      </c>
      <c r="E73" s="43">
        <f t="shared" si="35"/>
        <v>2982176</v>
      </c>
      <c r="F73" s="43">
        <f t="shared" si="35"/>
        <v>1978024</v>
      </c>
      <c r="G73" s="43">
        <f t="shared" si="35"/>
        <v>71760</v>
      </c>
      <c r="H73" s="43">
        <f t="shared" si="35"/>
        <v>59262</v>
      </c>
      <c r="I73" s="43">
        <f t="shared" si="35"/>
        <v>215282</v>
      </c>
      <c r="J73" s="43"/>
      <c r="K73" s="43">
        <f>SUM(K71:K72)</f>
        <v>464010</v>
      </c>
      <c r="L73" s="43">
        <f>SUM(L71:L72)</f>
        <v>1549</v>
      </c>
      <c r="M73" s="43">
        <f>SUM(M71:M72)</f>
        <v>21877</v>
      </c>
      <c r="N73" s="43">
        <f>SUM(N71:N72)</f>
        <v>2538</v>
      </c>
      <c r="O73" s="43">
        <f>SUM(O71:O72)</f>
        <v>155535</v>
      </c>
      <c r="P73" s="43"/>
      <c r="Q73" s="43">
        <f t="shared" ref="Q73:X73" si="36">SUM(Q71:Q72)</f>
        <v>6120260</v>
      </c>
      <c r="R73" s="43">
        <f t="shared" si="36"/>
        <v>0</v>
      </c>
      <c r="S73" s="43">
        <f t="shared" si="36"/>
        <v>13101</v>
      </c>
      <c r="T73" s="43">
        <f t="shared" si="36"/>
        <v>112491</v>
      </c>
      <c r="U73" s="43">
        <f t="shared" si="36"/>
        <v>457808</v>
      </c>
      <c r="V73" s="43">
        <f t="shared" si="36"/>
        <v>25293</v>
      </c>
      <c r="W73" s="43">
        <f t="shared" si="36"/>
        <v>136600</v>
      </c>
      <c r="X73" s="43">
        <f t="shared" si="36"/>
        <v>0</v>
      </c>
      <c r="Y73" s="43">
        <f>SUM(Y71:Y72)</f>
        <v>12048</v>
      </c>
      <c r="Z73" s="43">
        <f>SUM(Z71:Z72)</f>
        <v>480139</v>
      </c>
      <c r="AA73" s="43">
        <f>SUM(AA71:AA72)</f>
        <v>1237480</v>
      </c>
      <c r="AB73" s="43">
        <f>SUM(AB71:AB72)</f>
        <v>7357740</v>
      </c>
    </row>
    <row r="74" spans="1:28">
      <c r="A74" s="217">
        <v>2023</v>
      </c>
      <c r="B74" s="31" t="s">
        <v>5</v>
      </c>
      <c r="C74" s="37"/>
      <c r="D74" s="37"/>
      <c r="E74" s="37">
        <v>3095422</v>
      </c>
      <c r="F74" s="37">
        <v>2095580</v>
      </c>
      <c r="G74" s="37">
        <v>77886</v>
      </c>
      <c r="H74" s="37"/>
      <c r="I74" s="37">
        <v>219242</v>
      </c>
      <c r="J74" s="37"/>
      <c r="K74" s="37">
        <v>501476</v>
      </c>
      <c r="L74" s="37"/>
      <c r="M74" s="37">
        <v>22261</v>
      </c>
      <c r="N74" s="37">
        <v>3333</v>
      </c>
      <c r="O74" s="37">
        <v>187263</v>
      </c>
      <c r="P74" s="37">
        <v>183</v>
      </c>
      <c r="Q74" s="37">
        <f>SUM(C74:P74)</f>
        <v>6202646</v>
      </c>
      <c r="R74" s="37"/>
      <c r="S74" s="37">
        <v>133</v>
      </c>
      <c r="T74" s="37">
        <v>73266</v>
      </c>
      <c r="U74" s="37">
        <v>463435</v>
      </c>
      <c r="V74" s="37">
        <v>22645</v>
      </c>
      <c r="W74" s="37">
        <v>103415</v>
      </c>
      <c r="X74" s="201"/>
      <c r="Y74" s="201">
        <v>22447</v>
      </c>
      <c r="Z74" s="201">
        <v>40741</v>
      </c>
      <c r="AA74" s="37">
        <f>SUM(R74:Z74)</f>
        <v>726082</v>
      </c>
      <c r="AB74" s="55">
        <f>Q74+AA74</f>
        <v>6928728</v>
      </c>
    </row>
    <row r="75" spans="1:28" ht="28.5">
      <c r="A75" s="218"/>
      <c r="B75" s="3" t="s">
        <v>16</v>
      </c>
      <c r="C75" s="37">
        <v>116014</v>
      </c>
      <c r="D75" s="37">
        <v>68681</v>
      </c>
      <c r="E75" s="57">
        <v>11472</v>
      </c>
      <c r="F75" s="37">
        <v>4906</v>
      </c>
      <c r="G75" s="57"/>
      <c r="H75" s="37">
        <v>59367</v>
      </c>
      <c r="I75" s="57"/>
      <c r="J75" s="57"/>
      <c r="K75" s="37">
        <v>31553</v>
      </c>
      <c r="L75" s="37">
        <v>1259</v>
      </c>
      <c r="M75" s="37">
        <v>820</v>
      </c>
      <c r="O75" s="37">
        <v>2270</v>
      </c>
      <c r="P75" s="37"/>
      <c r="Q75" s="37">
        <f>SUM(C75:O75)</f>
        <v>296342</v>
      </c>
      <c r="R75" s="55"/>
      <c r="S75" s="55">
        <v>170</v>
      </c>
      <c r="T75" s="55">
        <v>38170</v>
      </c>
      <c r="U75" s="55">
        <v>7625</v>
      </c>
      <c r="V75" s="55">
        <v>3666</v>
      </c>
      <c r="W75" s="55">
        <v>8400</v>
      </c>
      <c r="X75" s="199"/>
      <c r="Y75" s="199"/>
      <c r="Z75" s="199"/>
      <c r="AA75" s="37">
        <f>SUM(R75:Z75)</f>
        <v>58031</v>
      </c>
      <c r="AB75" s="55">
        <f>Q75+AA75</f>
        <v>354373</v>
      </c>
    </row>
    <row r="76" spans="1:28">
      <c r="A76" s="219"/>
      <c r="B76" s="40" t="s">
        <v>1</v>
      </c>
      <c r="C76" s="43">
        <f t="shared" ref="C76:X76" si="37">SUM(C74:C75)</f>
        <v>116014</v>
      </c>
      <c r="D76" s="43">
        <f t="shared" si="37"/>
        <v>68681</v>
      </c>
      <c r="E76" s="43">
        <f t="shared" si="37"/>
        <v>3106894</v>
      </c>
      <c r="F76" s="43">
        <f t="shared" si="37"/>
        <v>2100486</v>
      </c>
      <c r="G76" s="43">
        <f t="shared" si="37"/>
        <v>77886</v>
      </c>
      <c r="H76" s="43">
        <f t="shared" si="37"/>
        <v>59367</v>
      </c>
      <c r="I76" s="43">
        <f t="shared" si="37"/>
        <v>219242</v>
      </c>
      <c r="J76" s="43">
        <f t="shared" si="37"/>
        <v>0</v>
      </c>
      <c r="K76" s="43">
        <f t="shared" si="37"/>
        <v>533029</v>
      </c>
      <c r="L76" s="43">
        <f t="shared" si="37"/>
        <v>1259</v>
      </c>
      <c r="M76" s="43">
        <f t="shared" si="37"/>
        <v>23081</v>
      </c>
      <c r="N76" s="43">
        <f t="shared" si="37"/>
        <v>3333</v>
      </c>
      <c r="O76" s="43">
        <f t="shared" si="37"/>
        <v>189533</v>
      </c>
      <c r="P76" s="43">
        <f t="shared" si="37"/>
        <v>183</v>
      </c>
      <c r="Q76" s="43">
        <f t="shared" si="37"/>
        <v>6498988</v>
      </c>
      <c r="R76" s="43">
        <f t="shared" si="37"/>
        <v>0</v>
      </c>
      <c r="S76" s="43">
        <f t="shared" si="37"/>
        <v>303</v>
      </c>
      <c r="T76" s="43">
        <f t="shared" si="37"/>
        <v>111436</v>
      </c>
      <c r="U76" s="43">
        <f t="shared" si="37"/>
        <v>471060</v>
      </c>
      <c r="V76" s="43">
        <f t="shared" si="37"/>
        <v>26311</v>
      </c>
      <c r="W76" s="43">
        <f t="shared" si="37"/>
        <v>111815</v>
      </c>
      <c r="X76" s="43">
        <f t="shared" si="37"/>
        <v>0</v>
      </c>
      <c r="Y76" s="43">
        <f>SUM(Y74:Y75)</f>
        <v>22447</v>
      </c>
      <c r="Z76" s="43">
        <f>SUM(Z74:Z75)</f>
        <v>40741</v>
      </c>
      <c r="AA76" s="43">
        <f>SUM(AA74:AA75)</f>
        <v>784113</v>
      </c>
      <c r="AB76" s="43">
        <f>SUM(AB74:AB75)</f>
        <v>7283101</v>
      </c>
    </row>
    <row r="77" spans="1:28">
      <c r="A77" s="217">
        <v>2024</v>
      </c>
      <c r="B77" s="31" t="s">
        <v>5</v>
      </c>
      <c r="C77" s="37"/>
      <c r="D77" s="37"/>
      <c r="E77" s="37">
        <v>3254705</v>
      </c>
      <c r="F77" s="37">
        <v>2180286</v>
      </c>
      <c r="G77" s="37">
        <v>96764</v>
      </c>
      <c r="H77" s="37"/>
      <c r="I77" s="37">
        <v>270836</v>
      </c>
      <c r="J77" s="37"/>
      <c r="K77" s="37">
        <v>535587</v>
      </c>
      <c r="L77" s="37"/>
      <c r="M77" s="37">
        <v>22303</v>
      </c>
      <c r="N77" s="37">
        <v>3477</v>
      </c>
      <c r="O77" s="37">
        <v>168313</v>
      </c>
      <c r="P77" s="37">
        <v>585</v>
      </c>
      <c r="Q77" s="37">
        <f>SUM(C77:P77)</f>
        <v>6532856</v>
      </c>
      <c r="R77" s="37"/>
      <c r="S77" s="37">
        <v>1520</v>
      </c>
      <c r="T77" s="37">
        <v>119597</v>
      </c>
      <c r="U77" s="37">
        <v>264817</v>
      </c>
      <c r="V77" s="37">
        <v>17904</v>
      </c>
      <c r="W77" s="37">
        <v>97797</v>
      </c>
      <c r="X77" s="201"/>
      <c r="Y77" s="201">
        <v>15796</v>
      </c>
      <c r="Z77" s="201">
        <v>339824</v>
      </c>
      <c r="AA77" s="37">
        <f>SUM(R77:Z77)</f>
        <v>857255</v>
      </c>
      <c r="AB77" s="55">
        <f>Q77+AA77</f>
        <v>7390111</v>
      </c>
    </row>
    <row r="78" spans="1:28" ht="28.5">
      <c r="A78" s="218"/>
      <c r="B78" s="3" t="s">
        <v>16</v>
      </c>
      <c r="C78" s="37">
        <v>109530</v>
      </c>
      <c r="D78" s="37">
        <v>70433</v>
      </c>
      <c r="E78" s="57">
        <v>8139</v>
      </c>
      <c r="F78" s="37">
        <v>1617</v>
      </c>
      <c r="G78" s="57"/>
      <c r="H78" s="37">
        <v>58757</v>
      </c>
      <c r="I78" s="57"/>
      <c r="J78" s="57"/>
      <c r="K78" s="37">
        <v>33579</v>
      </c>
      <c r="L78" s="37">
        <v>658</v>
      </c>
      <c r="M78" s="37">
        <v>739</v>
      </c>
      <c r="O78" s="37">
        <v>1069</v>
      </c>
      <c r="P78" s="37"/>
      <c r="Q78" s="37">
        <f>SUM(C78:O78)</f>
        <v>284521</v>
      </c>
      <c r="R78" s="55"/>
      <c r="S78" s="55">
        <v>10980</v>
      </c>
      <c r="T78" s="55">
        <v>25681</v>
      </c>
      <c r="U78" s="55">
        <v>5578</v>
      </c>
      <c r="V78" s="55">
        <v>1014</v>
      </c>
      <c r="W78" s="55">
        <v>1748</v>
      </c>
      <c r="X78" s="199"/>
      <c r="Y78" s="199">
        <v>97</v>
      </c>
      <c r="Z78" s="199"/>
      <c r="AA78" s="37">
        <f>SUM(R78:Z78)</f>
        <v>45098</v>
      </c>
      <c r="AB78" s="55">
        <f>Q78+AA78</f>
        <v>329619</v>
      </c>
    </row>
    <row r="79" spans="1:28">
      <c r="A79" s="219"/>
      <c r="B79" s="40" t="s">
        <v>1</v>
      </c>
      <c r="C79" s="43">
        <f t="shared" ref="C79:T79" si="38">SUM(C77:C78)</f>
        <v>109530</v>
      </c>
      <c r="D79" s="43">
        <f t="shared" si="38"/>
        <v>70433</v>
      </c>
      <c r="E79" s="43">
        <f t="shared" si="38"/>
        <v>3262844</v>
      </c>
      <c r="F79" s="43">
        <f t="shared" si="38"/>
        <v>2181903</v>
      </c>
      <c r="G79" s="43">
        <f t="shared" si="38"/>
        <v>96764</v>
      </c>
      <c r="H79" s="43">
        <f t="shared" si="38"/>
        <v>58757</v>
      </c>
      <c r="I79" s="43">
        <f t="shared" si="38"/>
        <v>270836</v>
      </c>
      <c r="J79" s="43">
        <f t="shared" si="38"/>
        <v>0</v>
      </c>
      <c r="K79" s="43">
        <f t="shared" si="38"/>
        <v>569166</v>
      </c>
      <c r="L79" s="43">
        <f t="shared" si="38"/>
        <v>658</v>
      </c>
      <c r="M79" s="43">
        <f t="shared" si="38"/>
        <v>23042</v>
      </c>
      <c r="N79" s="43">
        <f t="shared" si="38"/>
        <v>3477</v>
      </c>
      <c r="O79" s="43">
        <f t="shared" si="38"/>
        <v>169382</v>
      </c>
      <c r="P79" s="43">
        <f t="shared" si="38"/>
        <v>585</v>
      </c>
      <c r="Q79" s="43">
        <f t="shared" si="38"/>
        <v>6817377</v>
      </c>
      <c r="R79" s="43">
        <f t="shared" si="38"/>
        <v>0</v>
      </c>
      <c r="S79" s="43">
        <f t="shared" si="38"/>
        <v>12500</v>
      </c>
      <c r="T79" s="43">
        <f t="shared" si="38"/>
        <v>145278</v>
      </c>
      <c r="U79" s="43">
        <f t="shared" ref="U79:X79" si="39">SUM(U77:U78)</f>
        <v>270395</v>
      </c>
      <c r="V79" s="43">
        <f t="shared" si="39"/>
        <v>18918</v>
      </c>
      <c r="W79" s="43">
        <f t="shared" si="39"/>
        <v>99545</v>
      </c>
      <c r="X79" s="43">
        <f t="shared" si="39"/>
        <v>0</v>
      </c>
      <c r="Y79" s="43">
        <f>SUM(Y77:Y78)</f>
        <v>15893</v>
      </c>
      <c r="Z79" s="43">
        <f>SUM(Z77:Z78)</f>
        <v>339824</v>
      </c>
      <c r="AA79" s="43">
        <f>SUM(AA77:AA78)</f>
        <v>902353</v>
      </c>
      <c r="AB79" s="43">
        <f>SUM(AB77:AB78)</f>
        <v>7719730</v>
      </c>
    </row>
  </sheetData>
  <mergeCells count="31">
    <mergeCell ref="A77:A79"/>
    <mergeCell ref="A59:A61"/>
    <mergeCell ref="A56:A58"/>
    <mergeCell ref="A1:AB1"/>
    <mergeCell ref="A3:A4"/>
    <mergeCell ref="B3:B4"/>
    <mergeCell ref="C3:Q3"/>
    <mergeCell ref="R3:AA3"/>
    <mergeCell ref="AB3:AB4"/>
    <mergeCell ref="A8:A10"/>
    <mergeCell ref="A11:A13"/>
    <mergeCell ref="A26:A28"/>
    <mergeCell ref="A20:A22"/>
    <mergeCell ref="A23:A25"/>
    <mergeCell ref="A71:A73"/>
    <mergeCell ref="A17:A19"/>
    <mergeCell ref="A74:A76"/>
    <mergeCell ref="A68:A70"/>
    <mergeCell ref="A65:A67"/>
    <mergeCell ref="A62:A64"/>
    <mergeCell ref="A5:A7"/>
    <mergeCell ref="A29:A31"/>
    <mergeCell ref="A14:A16"/>
    <mergeCell ref="A50:A52"/>
    <mergeCell ref="A53:A55"/>
    <mergeCell ref="A44:A46"/>
    <mergeCell ref="A38:A40"/>
    <mergeCell ref="A32:A34"/>
    <mergeCell ref="A35:A37"/>
    <mergeCell ref="A41:A43"/>
    <mergeCell ref="A47:A49"/>
  </mergeCells>
  <phoneticPr fontId="2" type="noConversion"/>
  <printOptions horizontalCentered="1"/>
  <pageMargins left="0" right="0" top="0" bottom="0" header="0.51181102362204722" footer="0.51181102362204722"/>
  <pageSetup paperSize="8" scale="55" orientation="landscape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S78"/>
  <sheetViews>
    <sheetView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F80" sqref="F80"/>
    </sheetView>
  </sheetViews>
  <sheetFormatPr defaultColWidth="9" defaultRowHeight="15.75"/>
  <cols>
    <col min="1" max="1" width="12" style="1" customWidth="1"/>
    <col min="2" max="2" width="13.75" style="1" customWidth="1"/>
    <col min="3" max="5" width="12.625" style="1" customWidth="1"/>
    <col min="6" max="7" width="14.625" style="1" customWidth="1"/>
    <col min="8" max="8" width="10" style="1" bestFit="1" customWidth="1"/>
    <col min="9" max="9" width="10" style="1" customWidth="1"/>
    <col min="10" max="10" width="9" style="1"/>
    <col min="11" max="11" width="10" style="1" bestFit="1" customWidth="1"/>
    <col min="12" max="12" width="10" style="1" customWidth="1"/>
    <col min="13" max="13" width="9" style="1"/>
    <col min="14" max="14" width="10" style="1" bestFit="1" customWidth="1"/>
    <col min="15" max="15" width="10" style="1" customWidth="1"/>
    <col min="16" max="16" width="9" style="1"/>
    <col min="17" max="17" width="10.125" style="1" bestFit="1" customWidth="1"/>
    <col min="18" max="18" width="10.125" style="1" customWidth="1"/>
    <col min="19" max="16384" width="9" style="1"/>
  </cols>
  <sheetData>
    <row r="1" spans="1:19" ht="21.75" customHeight="1">
      <c r="A1" s="236" t="s">
        <v>200</v>
      </c>
      <c r="B1" s="245"/>
      <c r="C1" s="245"/>
      <c r="D1" s="245"/>
      <c r="E1" s="245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ht="18" customHeight="1" thickBot="1">
      <c r="E2" s="20" t="s">
        <v>43</v>
      </c>
    </row>
    <row r="3" spans="1:19" ht="33.75" thickBot="1">
      <c r="A3" s="17" t="s">
        <v>29</v>
      </c>
      <c r="B3" s="18" t="s">
        <v>30</v>
      </c>
      <c r="C3" s="19" t="s">
        <v>20</v>
      </c>
      <c r="D3" s="19" t="s">
        <v>21</v>
      </c>
      <c r="E3" s="152" t="s">
        <v>22</v>
      </c>
      <c r="F3" s="157" t="s">
        <v>107</v>
      </c>
      <c r="G3" s="158" t="s">
        <v>106</v>
      </c>
    </row>
    <row r="4" spans="1:19" ht="23.25" customHeight="1">
      <c r="A4" s="246" t="s">
        <v>33</v>
      </c>
      <c r="B4" s="12" t="s">
        <v>5</v>
      </c>
      <c r="C4" s="8">
        <f>'表7-1歷年經費收入統計'!Q6</f>
        <v>2973315</v>
      </c>
      <c r="D4" s="8">
        <f>'表7-2歷年經費支出決算表'!Q5</f>
        <v>2909468</v>
      </c>
      <c r="E4" s="153">
        <f>C4-D4</f>
        <v>63847</v>
      </c>
      <c r="F4" s="67">
        <v>155848</v>
      </c>
      <c r="G4" s="165">
        <f t="shared" ref="G4:G39" si="0">E4+F4</f>
        <v>219695</v>
      </c>
    </row>
    <row r="5" spans="1:19" ht="23.25" customHeight="1">
      <c r="A5" s="246"/>
      <c r="B5" s="11" t="s">
        <v>35</v>
      </c>
      <c r="C5" s="5">
        <f>'表7-1歷年經費收入統計'!Q7</f>
        <v>111418</v>
      </c>
      <c r="D5" s="5">
        <f>'表7-2歷年經費支出決算表'!Q6</f>
        <v>103146</v>
      </c>
      <c r="E5" s="153">
        <f t="shared" ref="E5:E39" si="1">C5-D5</f>
        <v>8272</v>
      </c>
      <c r="F5" s="69">
        <v>11191</v>
      </c>
      <c r="G5" s="6">
        <f t="shared" si="0"/>
        <v>19463</v>
      </c>
    </row>
    <row r="6" spans="1:19" ht="23.25" customHeight="1" thickBot="1">
      <c r="A6" s="247"/>
      <c r="B6" s="44" t="s">
        <v>27</v>
      </c>
      <c r="C6" s="45">
        <f>SUM(C4:C5)</f>
        <v>3084733</v>
      </c>
      <c r="D6" s="45">
        <f>SUM(D4:D5)</f>
        <v>3012614</v>
      </c>
      <c r="E6" s="154">
        <f t="shared" si="1"/>
        <v>72119</v>
      </c>
      <c r="F6" s="159">
        <f>SUM(F4:F5)</f>
        <v>167039</v>
      </c>
      <c r="G6" s="160">
        <f t="shared" si="0"/>
        <v>239158</v>
      </c>
    </row>
    <row r="7" spans="1:19" ht="23.25" customHeight="1">
      <c r="A7" s="242" t="s">
        <v>6</v>
      </c>
      <c r="B7" s="13" t="s">
        <v>5</v>
      </c>
      <c r="C7" s="14">
        <f>'表7-1歷年經費收入統計'!Q9</f>
        <v>3132508</v>
      </c>
      <c r="D7" s="14">
        <f>'表7-2歷年經費支出決算表'!Q8</f>
        <v>2968041</v>
      </c>
      <c r="E7" s="155">
        <f t="shared" si="1"/>
        <v>164467</v>
      </c>
      <c r="F7" s="161">
        <v>112463</v>
      </c>
      <c r="G7" s="15">
        <f t="shared" si="0"/>
        <v>276930</v>
      </c>
    </row>
    <row r="8" spans="1:19" ht="23.25" customHeight="1">
      <c r="A8" s="243"/>
      <c r="B8" s="11" t="s">
        <v>35</v>
      </c>
      <c r="C8" s="5">
        <f>'表7-1歷年經費收入統計'!Q10</f>
        <v>132405</v>
      </c>
      <c r="D8" s="5">
        <f>'表7-2歷年經費支出決算表'!Q9</f>
        <v>123765</v>
      </c>
      <c r="E8" s="153">
        <f t="shared" si="1"/>
        <v>8640</v>
      </c>
      <c r="F8" s="69">
        <v>13763</v>
      </c>
      <c r="G8" s="6">
        <f t="shared" si="0"/>
        <v>22403</v>
      </c>
    </row>
    <row r="9" spans="1:19" ht="23.25" customHeight="1" thickBot="1">
      <c r="A9" s="244"/>
      <c r="B9" s="44" t="s">
        <v>27</v>
      </c>
      <c r="C9" s="45">
        <f>SUM(C7:C8)</f>
        <v>3264913</v>
      </c>
      <c r="D9" s="45">
        <f>SUM(D7:D8)</f>
        <v>3091806</v>
      </c>
      <c r="E9" s="156">
        <f t="shared" si="1"/>
        <v>173107</v>
      </c>
      <c r="F9" s="159">
        <f>SUM(F7:F8)</f>
        <v>126226</v>
      </c>
      <c r="G9" s="160">
        <f t="shared" si="0"/>
        <v>299333</v>
      </c>
    </row>
    <row r="10" spans="1:19" ht="23.25" customHeight="1">
      <c r="A10" s="242" t="s">
        <v>7</v>
      </c>
      <c r="B10" s="13" t="s">
        <v>5</v>
      </c>
      <c r="C10" s="14">
        <f>'表7-1歷年經費收入統計'!Q12</f>
        <v>3353041</v>
      </c>
      <c r="D10" s="14">
        <f>'表7-2歷年經費支出決算表'!Q11</f>
        <v>3214518</v>
      </c>
      <c r="E10" s="153">
        <f t="shared" si="1"/>
        <v>138523</v>
      </c>
      <c r="F10" s="161">
        <v>118483</v>
      </c>
      <c r="G10" s="15">
        <f t="shared" si="0"/>
        <v>257006</v>
      </c>
    </row>
    <row r="11" spans="1:19" ht="23.25" customHeight="1">
      <c r="A11" s="243"/>
      <c r="B11" s="11" t="s">
        <v>35</v>
      </c>
      <c r="C11" s="5">
        <f>'表7-1歷年經費收入統計'!Q13</f>
        <v>127484</v>
      </c>
      <c r="D11" s="5">
        <f>'表7-2歷年經費支出決算表'!Q12</f>
        <v>123059</v>
      </c>
      <c r="E11" s="153">
        <f t="shared" si="1"/>
        <v>4425</v>
      </c>
      <c r="F11" s="69">
        <v>14082</v>
      </c>
      <c r="G11" s="6">
        <f t="shared" si="0"/>
        <v>18507</v>
      </c>
    </row>
    <row r="12" spans="1:19" ht="23.25" customHeight="1" thickBot="1">
      <c r="A12" s="244"/>
      <c r="B12" s="44" t="s">
        <v>27</v>
      </c>
      <c r="C12" s="45">
        <f>SUM(C10:C11)</f>
        <v>3480525</v>
      </c>
      <c r="D12" s="45">
        <f>SUM(D10:D11)</f>
        <v>3337577</v>
      </c>
      <c r="E12" s="154">
        <f t="shared" si="1"/>
        <v>142948</v>
      </c>
      <c r="F12" s="159">
        <f>SUM(F10:F11)</f>
        <v>132565</v>
      </c>
      <c r="G12" s="160">
        <f t="shared" si="0"/>
        <v>275513</v>
      </c>
    </row>
    <row r="13" spans="1:19" ht="23.25" customHeight="1">
      <c r="A13" s="242" t="s">
        <v>8</v>
      </c>
      <c r="B13" s="13" t="s">
        <v>5</v>
      </c>
      <c r="C13" s="14">
        <f>'表7-1歷年經費收入統計'!Q15</f>
        <v>3375300</v>
      </c>
      <c r="D13" s="14">
        <f>'表7-2歷年經費支出決算表'!Q14</f>
        <v>3393922</v>
      </c>
      <c r="E13" s="155">
        <f t="shared" si="1"/>
        <v>-18622</v>
      </c>
      <c r="F13" s="161">
        <v>221946</v>
      </c>
      <c r="G13" s="15">
        <f t="shared" si="0"/>
        <v>203324</v>
      </c>
    </row>
    <row r="14" spans="1:19" ht="23.25" customHeight="1">
      <c r="A14" s="243"/>
      <c r="B14" s="11" t="s">
        <v>35</v>
      </c>
      <c r="C14" s="5">
        <f>'表7-1歷年經費收入統計'!Q16</f>
        <v>126542</v>
      </c>
      <c r="D14" s="5">
        <f>'表7-2歷年經費支出決算表'!Q15</f>
        <v>126136</v>
      </c>
      <c r="E14" s="153">
        <f t="shared" si="1"/>
        <v>406</v>
      </c>
      <c r="F14" s="69">
        <v>14395</v>
      </c>
      <c r="G14" s="6">
        <f t="shared" si="0"/>
        <v>14801</v>
      </c>
    </row>
    <row r="15" spans="1:19" ht="23.25" customHeight="1" thickBot="1">
      <c r="A15" s="244"/>
      <c r="B15" s="44" t="s">
        <v>27</v>
      </c>
      <c r="C15" s="45">
        <f>SUM(C13:C14)</f>
        <v>3501842</v>
      </c>
      <c r="D15" s="45">
        <f>SUM(D13:D14)</f>
        <v>3520058</v>
      </c>
      <c r="E15" s="154">
        <f t="shared" si="1"/>
        <v>-18216</v>
      </c>
      <c r="F15" s="159">
        <f>SUM(F13:F14)</f>
        <v>236341</v>
      </c>
      <c r="G15" s="160">
        <f t="shared" si="0"/>
        <v>218125</v>
      </c>
    </row>
    <row r="16" spans="1:19" ht="23.25" customHeight="1">
      <c r="A16" s="242" t="s">
        <v>9</v>
      </c>
      <c r="B16" s="13" t="s">
        <v>5</v>
      </c>
      <c r="C16" s="14">
        <f>'表7-1歷年經費收入統計'!Q18</f>
        <v>3416199</v>
      </c>
      <c r="D16" s="14">
        <f>'表7-2歷年經費支出決算表'!Q17</f>
        <v>3835866</v>
      </c>
      <c r="E16" s="155">
        <f t="shared" si="1"/>
        <v>-419667</v>
      </c>
      <c r="F16" s="161">
        <v>554957</v>
      </c>
      <c r="G16" s="15">
        <f t="shared" si="0"/>
        <v>135290</v>
      </c>
    </row>
    <row r="17" spans="1:7" ht="23.25" customHeight="1">
      <c r="A17" s="243"/>
      <c r="B17" s="11" t="s">
        <v>35</v>
      </c>
      <c r="C17" s="5">
        <f>'表7-1歷年經費收入統計'!Q19</f>
        <v>138272</v>
      </c>
      <c r="D17" s="5">
        <f>'表7-2歷年經費支出決算表'!Q18</f>
        <v>130260</v>
      </c>
      <c r="E17" s="153">
        <f t="shared" si="1"/>
        <v>8012</v>
      </c>
      <c r="F17" s="69">
        <v>14369</v>
      </c>
      <c r="G17" s="6">
        <f t="shared" si="0"/>
        <v>22381</v>
      </c>
    </row>
    <row r="18" spans="1:7" ht="23.25" customHeight="1" thickBot="1">
      <c r="A18" s="244"/>
      <c r="B18" s="44" t="s">
        <v>27</v>
      </c>
      <c r="C18" s="45">
        <f>SUM(C16:C17)</f>
        <v>3554471</v>
      </c>
      <c r="D18" s="45">
        <f>SUM(D16:D17)</f>
        <v>3966126</v>
      </c>
      <c r="E18" s="156">
        <f t="shared" si="1"/>
        <v>-411655</v>
      </c>
      <c r="F18" s="162">
        <f>SUM(F16:F17)</f>
        <v>569326</v>
      </c>
      <c r="G18" s="160">
        <f t="shared" si="0"/>
        <v>157671</v>
      </c>
    </row>
    <row r="19" spans="1:7" ht="23.25" customHeight="1">
      <c r="A19" s="242" t="s">
        <v>10</v>
      </c>
      <c r="B19" s="13" t="s">
        <v>5</v>
      </c>
      <c r="C19" s="14">
        <f>'表7-1歷年經費收入統計'!Q21</f>
        <v>3822300</v>
      </c>
      <c r="D19" s="14">
        <f>'表7-2歷年經費支出決算表'!Q20</f>
        <v>4115425</v>
      </c>
      <c r="E19" s="153">
        <f t="shared" si="1"/>
        <v>-293125</v>
      </c>
      <c r="F19" s="67">
        <v>577275</v>
      </c>
      <c r="G19" s="15">
        <f t="shared" si="0"/>
        <v>284150</v>
      </c>
    </row>
    <row r="20" spans="1:7" ht="23.25" customHeight="1">
      <c r="A20" s="243"/>
      <c r="B20" s="11" t="s">
        <v>35</v>
      </c>
      <c r="C20" s="5">
        <f>'表7-1歷年經費收入統計'!Q22</f>
        <v>166416</v>
      </c>
      <c r="D20" s="5">
        <f>'表7-2歷年經費支出決算表'!Q21</f>
        <v>180748</v>
      </c>
      <c r="E20" s="153">
        <f t="shared" si="1"/>
        <v>-14332</v>
      </c>
      <c r="F20" s="69">
        <v>24295</v>
      </c>
      <c r="G20" s="6">
        <f t="shared" si="0"/>
        <v>9963</v>
      </c>
    </row>
    <row r="21" spans="1:7" ht="23.25" customHeight="1" thickBot="1">
      <c r="A21" s="244"/>
      <c r="B21" s="44" t="s">
        <v>27</v>
      </c>
      <c r="C21" s="45">
        <f>SUM(C19:C20)</f>
        <v>3988716</v>
      </c>
      <c r="D21" s="45">
        <f>SUM(D19:D20)</f>
        <v>4296173</v>
      </c>
      <c r="E21" s="154">
        <f t="shared" si="1"/>
        <v>-307457</v>
      </c>
      <c r="F21" s="162">
        <f>SUM(F19:F20)</f>
        <v>601570</v>
      </c>
      <c r="G21" s="46">
        <f t="shared" si="0"/>
        <v>294113</v>
      </c>
    </row>
    <row r="22" spans="1:7" ht="23.25" customHeight="1">
      <c r="A22" s="242" t="s">
        <v>28</v>
      </c>
      <c r="B22" s="13" t="s">
        <v>5</v>
      </c>
      <c r="C22" s="14">
        <f>'表7-1歷年經費收入統計'!Q24</f>
        <v>3921387</v>
      </c>
      <c r="D22" s="14">
        <f>'表7-2歷年經費支出決算表'!Q23</f>
        <v>4257618</v>
      </c>
      <c r="E22" s="155">
        <f t="shared" si="1"/>
        <v>-336231</v>
      </c>
      <c r="F22" s="67">
        <v>639781</v>
      </c>
      <c r="G22" s="9">
        <f t="shared" si="0"/>
        <v>303550</v>
      </c>
    </row>
    <row r="23" spans="1:7" ht="23.25" customHeight="1">
      <c r="A23" s="243"/>
      <c r="B23" s="11" t="s">
        <v>35</v>
      </c>
      <c r="C23" s="5">
        <f>'表7-1歷年經費收入統計'!Q25</f>
        <v>145597</v>
      </c>
      <c r="D23" s="5">
        <f>'表7-2歷年經費支出決算表'!Q24</f>
        <v>142576</v>
      </c>
      <c r="E23" s="153">
        <f t="shared" si="1"/>
        <v>3021</v>
      </c>
      <c r="F23" s="69">
        <v>25492</v>
      </c>
      <c r="G23" s="6">
        <f t="shared" si="0"/>
        <v>28513</v>
      </c>
    </row>
    <row r="24" spans="1:7" ht="23.25" customHeight="1" thickBot="1">
      <c r="A24" s="244"/>
      <c r="B24" s="44" t="s">
        <v>27</v>
      </c>
      <c r="C24" s="45">
        <f>SUM(C22:C23)</f>
        <v>4066984</v>
      </c>
      <c r="D24" s="45">
        <f>SUM(D22:D23)</f>
        <v>4400194</v>
      </c>
      <c r="E24" s="154">
        <f t="shared" si="1"/>
        <v>-333210</v>
      </c>
      <c r="F24" s="162">
        <f>SUM(F22:F23)</f>
        <v>665273</v>
      </c>
      <c r="G24" s="160">
        <f t="shared" si="0"/>
        <v>332063</v>
      </c>
    </row>
    <row r="25" spans="1:7" ht="23.25" customHeight="1">
      <c r="A25" s="242" t="s">
        <v>11</v>
      </c>
      <c r="B25" s="13" t="s">
        <v>5</v>
      </c>
      <c r="C25" s="14">
        <f>'表7-1歷年經費收入統計'!Q27</f>
        <v>4058924</v>
      </c>
      <c r="D25" s="14">
        <f>'表7-2歷年經費支出決算表'!Q26</f>
        <v>4372775</v>
      </c>
      <c r="E25" s="155">
        <f t="shared" si="1"/>
        <v>-313851</v>
      </c>
      <c r="F25" s="67">
        <v>656754</v>
      </c>
      <c r="G25" s="15">
        <f t="shared" si="0"/>
        <v>342903</v>
      </c>
    </row>
    <row r="26" spans="1:7" ht="23.25" customHeight="1">
      <c r="A26" s="243"/>
      <c r="B26" s="11" t="s">
        <v>35</v>
      </c>
      <c r="C26" s="5">
        <f>'表7-1歷年經費收入統計'!Q28</f>
        <v>151885</v>
      </c>
      <c r="D26" s="5">
        <f>'表7-2歷年經費支出決算表'!Q27</f>
        <v>159589</v>
      </c>
      <c r="E26" s="153">
        <f t="shared" si="1"/>
        <v>-7704</v>
      </c>
      <c r="F26" s="69">
        <v>25338</v>
      </c>
      <c r="G26" s="6">
        <f t="shared" si="0"/>
        <v>17634</v>
      </c>
    </row>
    <row r="27" spans="1:7" ht="23.25" customHeight="1" thickBot="1">
      <c r="A27" s="244"/>
      <c r="B27" s="44" t="s">
        <v>27</v>
      </c>
      <c r="C27" s="45">
        <f>SUM(C25:C26)</f>
        <v>4210809</v>
      </c>
      <c r="D27" s="45">
        <f>SUM(D25:D26)</f>
        <v>4532364</v>
      </c>
      <c r="E27" s="154">
        <f t="shared" si="1"/>
        <v>-321555</v>
      </c>
      <c r="F27" s="162">
        <f>SUM(F25:F26)</f>
        <v>682092</v>
      </c>
      <c r="G27" s="160">
        <f t="shared" si="0"/>
        <v>360537</v>
      </c>
    </row>
    <row r="28" spans="1:7" ht="23.25" customHeight="1">
      <c r="A28" s="242" t="s">
        <v>12</v>
      </c>
      <c r="B28" s="13" t="s">
        <v>5</v>
      </c>
      <c r="C28" s="14">
        <f>'表7-1歷年經費收入統計'!Q30</f>
        <v>4240138</v>
      </c>
      <c r="D28" s="14">
        <f>'表7-2歷年經費支出決算表'!Q29</f>
        <v>4588899</v>
      </c>
      <c r="E28" s="155">
        <f t="shared" si="1"/>
        <v>-348761</v>
      </c>
      <c r="F28" s="67">
        <v>650935</v>
      </c>
      <c r="G28" s="15">
        <f t="shared" si="0"/>
        <v>302174</v>
      </c>
    </row>
    <row r="29" spans="1:7" ht="23.25" customHeight="1">
      <c r="A29" s="243"/>
      <c r="B29" s="11" t="s">
        <v>35</v>
      </c>
      <c r="C29" s="5">
        <f>'表7-1歷年經費收入統計'!Q31</f>
        <v>201862</v>
      </c>
      <c r="D29" s="5">
        <f>'表7-2歷年經費支出決算表'!Q30</f>
        <v>195213</v>
      </c>
      <c r="E29" s="153">
        <f t="shared" si="1"/>
        <v>6649</v>
      </c>
      <c r="F29" s="69">
        <v>24889</v>
      </c>
      <c r="G29" s="6">
        <f t="shared" si="0"/>
        <v>31538</v>
      </c>
    </row>
    <row r="30" spans="1:7" ht="23.25" customHeight="1" thickBot="1">
      <c r="A30" s="244"/>
      <c r="B30" s="44" t="s">
        <v>27</v>
      </c>
      <c r="C30" s="45">
        <f>SUM(C28:C29)</f>
        <v>4442000</v>
      </c>
      <c r="D30" s="45">
        <f>SUM(D28:D29)</f>
        <v>4784112</v>
      </c>
      <c r="E30" s="154">
        <f t="shared" si="1"/>
        <v>-342112</v>
      </c>
      <c r="F30" s="162">
        <f>SUM(F28:F29)</f>
        <v>675824</v>
      </c>
      <c r="G30" s="46">
        <f t="shared" si="0"/>
        <v>333712</v>
      </c>
    </row>
    <row r="31" spans="1:7" ht="23.25" customHeight="1">
      <c r="A31" s="242" t="s">
        <v>13</v>
      </c>
      <c r="B31" s="13" t="s">
        <v>5</v>
      </c>
      <c r="C31" s="14">
        <f>'表7-1歷年經費收入統計'!Q33</f>
        <v>4438490</v>
      </c>
      <c r="D31" s="14">
        <f>'表7-2歷年經費支出決算表'!Q32</f>
        <v>4653138</v>
      </c>
      <c r="E31" s="15">
        <f t="shared" si="1"/>
        <v>-214648</v>
      </c>
      <c r="F31" s="67">
        <v>652359</v>
      </c>
      <c r="G31" s="9">
        <f t="shared" si="0"/>
        <v>437711</v>
      </c>
    </row>
    <row r="32" spans="1:7" ht="23.25" customHeight="1">
      <c r="A32" s="243"/>
      <c r="B32" s="11" t="s">
        <v>35</v>
      </c>
      <c r="C32" s="5">
        <f>'表7-1歷年經費收入統計'!Q34</f>
        <v>221351</v>
      </c>
      <c r="D32" s="5">
        <f>'表7-2歷年經費支出決算表'!Q33</f>
        <v>220181</v>
      </c>
      <c r="E32" s="153">
        <f t="shared" si="1"/>
        <v>1170</v>
      </c>
      <c r="F32" s="69">
        <v>26735</v>
      </c>
      <c r="G32" s="6">
        <f t="shared" si="0"/>
        <v>27905</v>
      </c>
    </row>
    <row r="33" spans="1:7" ht="23.25" customHeight="1" thickBot="1">
      <c r="A33" s="244"/>
      <c r="B33" s="44" t="s">
        <v>27</v>
      </c>
      <c r="C33" s="45">
        <f>SUM(C31:C32)</f>
        <v>4659841</v>
      </c>
      <c r="D33" s="45">
        <f>SUM(D31:D32)</f>
        <v>4873319</v>
      </c>
      <c r="E33" s="154">
        <f t="shared" si="1"/>
        <v>-213478</v>
      </c>
      <c r="F33" s="163">
        <f>SUM(F31:F32)</f>
        <v>679094</v>
      </c>
      <c r="G33" s="164">
        <f t="shared" si="0"/>
        <v>465616</v>
      </c>
    </row>
    <row r="34" spans="1:7" ht="23.25" customHeight="1">
      <c r="A34" s="242" t="s">
        <v>14</v>
      </c>
      <c r="B34" s="13" t="s">
        <v>5</v>
      </c>
      <c r="C34" s="14">
        <f>'表7-1歷年經費收入統計'!Q36</f>
        <v>4284860</v>
      </c>
      <c r="D34" s="14">
        <f>'表7-2歷年經費支出決算表'!Q35</f>
        <v>4600535</v>
      </c>
      <c r="E34" s="155">
        <f t="shared" si="1"/>
        <v>-315675</v>
      </c>
      <c r="F34" s="69">
        <v>632769</v>
      </c>
      <c r="G34" s="6">
        <f t="shared" si="0"/>
        <v>317094</v>
      </c>
    </row>
    <row r="35" spans="1:7" ht="23.25" customHeight="1">
      <c r="A35" s="243"/>
      <c r="B35" s="11" t="s">
        <v>35</v>
      </c>
      <c r="C35" s="5">
        <f>'表7-1歷年經費收入統計'!Q37</f>
        <v>219729</v>
      </c>
      <c r="D35" s="5">
        <f>'表7-2歷年經費支出決算表'!Q36</f>
        <v>210443</v>
      </c>
      <c r="E35" s="153">
        <f t="shared" si="1"/>
        <v>9286</v>
      </c>
      <c r="F35" s="69">
        <v>26865</v>
      </c>
      <c r="G35" s="6">
        <f t="shared" si="0"/>
        <v>36151</v>
      </c>
    </row>
    <row r="36" spans="1:7" ht="23.25" customHeight="1" thickBot="1">
      <c r="A36" s="244"/>
      <c r="B36" s="44" t="s">
        <v>27</v>
      </c>
      <c r="C36" s="45">
        <f>SUM(C34:C35)</f>
        <v>4504589</v>
      </c>
      <c r="D36" s="45">
        <f>SUM(D34:D35)</f>
        <v>4810978</v>
      </c>
      <c r="E36" s="154">
        <f t="shared" si="1"/>
        <v>-306389</v>
      </c>
      <c r="F36" s="162">
        <f>SUM(F34:F35)</f>
        <v>659634</v>
      </c>
      <c r="G36" s="160">
        <f t="shared" si="0"/>
        <v>353245</v>
      </c>
    </row>
    <row r="37" spans="1:7" ht="23.25" customHeight="1">
      <c r="A37" s="251" t="s">
        <v>15</v>
      </c>
      <c r="B37" s="12" t="s">
        <v>5</v>
      </c>
      <c r="C37" s="8">
        <f>'表7-1歷年經費收入統計'!Q39</f>
        <v>4286467</v>
      </c>
      <c r="D37" s="8">
        <f>'表7-2歷年經費支出決算表'!Q38</f>
        <v>4543130</v>
      </c>
      <c r="E37" s="155">
        <f t="shared" si="1"/>
        <v>-256663</v>
      </c>
      <c r="F37" s="67">
        <v>616733</v>
      </c>
      <c r="G37" s="15">
        <f t="shared" si="0"/>
        <v>360070</v>
      </c>
    </row>
    <row r="38" spans="1:7" ht="23.25" customHeight="1">
      <c r="A38" s="243"/>
      <c r="B38" s="11" t="s">
        <v>35</v>
      </c>
      <c r="C38" s="5">
        <f>'表7-1歷年經費收入統計'!Q40</f>
        <v>225834</v>
      </c>
      <c r="D38" s="5">
        <f>'表7-2歷年經費支出決算表'!Q39</f>
        <v>211149</v>
      </c>
      <c r="E38" s="153">
        <f t="shared" si="1"/>
        <v>14685</v>
      </c>
      <c r="F38" s="69">
        <v>27887</v>
      </c>
      <c r="G38" s="6">
        <f t="shared" si="0"/>
        <v>42572</v>
      </c>
    </row>
    <row r="39" spans="1:7" ht="23.25" customHeight="1" thickBot="1">
      <c r="A39" s="244"/>
      <c r="B39" s="44" t="s">
        <v>27</v>
      </c>
      <c r="C39" s="45">
        <f>SUM(C37:C38)</f>
        <v>4512301</v>
      </c>
      <c r="D39" s="45">
        <f>SUM(D37:D38)</f>
        <v>4754279</v>
      </c>
      <c r="E39" s="156">
        <f t="shared" si="1"/>
        <v>-241978</v>
      </c>
      <c r="F39" s="159">
        <f>SUM(F37:F38)</f>
        <v>644620</v>
      </c>
      <c r="G39" s="46">
        <f t="shared" si="0"/>
        <v>402642</v>
      </c>
    </row>
    <row r="40" spans="1:7" ht="23.25" customHeight="1">
      <c r="A40" s="251" t="s">
        <v>108</v>
      </c>
      <c r="B40" s="12" t="s">
        <v>5</v>
      </c>
      <c r="C40" s="8">
        <f>'表7-1歷年經費收入統計'!Q42</f>
        <v>4311322</v>
      </c>
      <c r="D40" s="8">
        <f>'表7-2歷年經費支出決算表'!Q41</f>
        <v>4599631</v>
      </c>
      <c r="E40" s="155">
        <f t="shared" ref="E40:E45" si="2">C40-D40</f>
        <v>-288309</v>
      </c>
      <c r="F40" s="67">
        <v>614987</v>
      </c>
      <c r="G40" s="15">
        <f t="shared" ref="G40:G45" si="3">E40+F40</f>
        <v>326678</v>
      </c>
    </row>
    <row r="41" spans="1:7" ht="23.25" customHeight="1">
      <c r="A41" s="243"/>
      <c r="B41" s="11" t="s">
        <v>35</v>
      </c>
      <c r="C41" s="5">
        <f>'表7-1歷年經費收入統計'!Q43</f>
        <v>216392</v>
      </c>
      <c r="D41" s="5">
        <f>'表7-2歷年經費支出決算表'!Q42</f>
        <v>219765</v>
      </c>
      <c r="E41" s="153">
        <f t="shared" si="2"/>
        <v>-3373</v>
      </c>
      <c r="F41" s="69">
        <v>28898</v>
      </c>
      <c r="G41" s="6">
        <f t="shared" si="3"/>
        <v>25525</v>
      </c>
    </row>
    <row r="42" spans="1:7" ht="23.25" customHeight="1" thickBot="1">
      <c r="A42" s="244"/>
      <c r="B42" s="44" t="s">
        <v>27</v>
      </c>
      <c r="C42" s="45">
        <f>SUM(C40:C41)</f>
        <v>4527714</v>
      </c>
      <c r="D42" s="45">
        <f>SUM(D40:D41)</f>
        <v>4819396</v>
      </c>
      <c r="E42" s="156">
        <f t="shared" si="2"/>
        <v>-291682</v>
      </c>
      <c r="F42" s="159">
        <f>SUM(F40:F41)</f>
        <v>643885</v>
      </c>
      <c r="G42" s="46">
        <f t="shared" si="3"/>
        <v>352203</v>
      </c>
    </row>
    <row r="43" spans="1:7" ht="23.25" customHeight="1">
      <c r="A43" s="251" t="s">
        <v>110</v>
      </c>
      <c r="B43" s="12" t="s">
        <v>5</v>
      </c>
      <c r="C43" s="8">
        <f>'表7-1歷年經費收入統計'!Q45</f>
        <v>4316495</v>
      </c>
      <c r="D43" s="8">
        <f>'表7-2歷年經費支出決算表'!Q44</f>
        <v>4575844</v>
      </c>
      <c r="E43" s="155">
        <f t="shared" si="2"/>
        <v>-259349</v>
      </c>
      <c r="F43" s="67">
        <v>587542</v>
      </c>
      <c r="G43" s="15">
        <f t="shared" si="3"/>
        <v>328193</v>
      </c>
    </row>
    <row r="44" spans="1:7" ht="23.25" customHeight="1">
      <c r="A44" s="243"/>
      <c r="B44" s="11" t="s">
        <v>35</v>
      </c>
      <c r="C44" s="5">
        <f>'表7-1歷年經費收入統計'!Q46</f>
        <v>218925</v>
      </c>
      <c r="D44" s="5">
        <f>'表7-2歷年經費支出決算表'!Q45</f>
        <v>216737</v>
      </c>
      <c r="E44" s="153">
        <f t="shared" si="2"/>
        <v>2188</v>
      </c>
      <c r="F44" s="69">
        <v>28183</v>
      </c>
      <c r="G44" s="6">
        <f t="shared" si="3"/>
        <v>30371</v>
      </c>
    </row>
    <row r="45" spans="1:7" ht="23.25" customHeight="1" thickBot="1">
      <c r="A45" s="244"/>
      <c r="B45" s="44" t="s">
        <v>27</v>
      </c>
      <c r="C45" s="45">
        <f>SUM(C43:C44)</f>
        <v>4535420</v>
      </c>
      <c r="D45" s="45">
        <f>SUM(D43:D44)</f>
        <v>4792581</v>
      </c>
      <c r="E45" s="156">
        <f t="shared" si="2"/>
        <v>-257161</v>
      </c>
      <c r="F45" s="159">
        <f>SUM(F43:F44)</f>
        <v>615725</v>
      </c>
      <c r="G45" s="46">
        <f t="shared" si="3"/>
        <v>358564</v>
      </c>
    </row>
    <row r="46" spans="1:7" ht="23.25" customHeight="1">
      <c r="A46" s="248" t="s">
        <v>128</v>
      </c>
      <c r="B46" s="12" t="s">
        <v>5</v>
      </c>
      <c r="C46" s="8">
        <f>'表7-1歷年經費收入統計'!Q48</f>
        <v>4273006</v>
      </c>
      <c r="D46" s="8">
        <f>'表7-2歷年經費支出決算表'!Q47</f>
        <v>4560541</v>
      </c>
      <c r="E46" s="155">
        <f t="shared" ref="E46:E51" si="4">C46-D46</f>
        <v>-287535</v>
      </c>
      <c r="F46" s="67">
        <v>571099</v>
      </c>
      <c r="G46" s="15">
        <f t="shared" ref="G46:G51" si="5">E46+F46</f>
        <v>283564</v>
      </c>
    </row>
    <row r="47" spans="1:7" ht="23.25" customHeight="1">
      <c r="A47" s="249"/>
      <c r="B47" s="11" t="s">
        <v>35</v>
      </c>
      <c r="C47" s="5">
        <f>'表7-1歷年經費收入統計'!Q49</f>
        <v>238806</v>
      </c>
      <c r="D47" s="5">
        <f>'表7-2歷年經費支出決算表'!Q48</f>
        <v>221027</v>
      </c>
      <c r="E47" s="153">
        <f t="shared" si="4"/>
        <v>17779</v>
      </c>
      <c r="F47" s="69">
        <v>29795</v>
      </c>
      <c r="G47" s="6">
        <f t="shared" si="5"/>
        <v>47574</v>
      </c>
    </row>
    <row r="48" spans="1:7" ht="23.25" customHeight="1" thickBot="1">
      <c r="A48" s="250"/>
      <c r="B48" s="44" t="s">
        <v>27</v>
      </c>
      <c r="C48" s="45">
        <f>SUM(C46:C47)</f>
        <v>4511812</v>
      </c>
      <c r="D48" s="45">
        <f>SUM(D46:D47)</f>
        <v>4781568</v>
      </c>
      <c r="E48" s="156">
        <f t="shared" si="4"/>
        <v>-269756</v>
      </c>
      <c r="F48" s="159">
        <f>SUM(F46:F47)</f>
        <v>600894</v>
      </c>
      <c r="G48" s="46">
        <f t="shared" si="5"/>
        <v>331138</v>
      </c>
    </row>
    <row r="49" spans="1:7" ht="23.25" hidden="1" customHeight="1">
      <c r="A49" s="252" t="s">
        <v>112</v>
      </c>
      <c r="B49" s="12" t="s">
        <v>5</v>
      </c>
      <c r="C49" s="8">
        <f>'表7-1歷年經費收入統計'!Q51</f>
        <v>4154867</v>
      </c>
      <c r="D49" s="8">
        <f>'表7-2歷年經費支出決算表'!Q50</f>
        <v>4442293</v>
      </c>
      <c r="E49" s="155">
        <f t="shared" si="4"/>
        <v>-287426</v>
      </c>
      <c r="F49" s="67"/>
      <c r="G49" s="15">
        <f t="shared" si="5"/>
        <v>-287426</v>
      </c>
    </row>
    <row r="50" spans="1:7" ht="23.25" hidden="1" customHeight="1">
      <c r="A50" s="243"/>
      <c r="B50" s="11" t="s">
        <v>35</v>
      </c>
      <c r="C50" s="5">
        <f>'表7-1歷年經費收入統計'!Q52</f>
        <v>203253</v>
      </c>
      <c r="D50" s="5">
        <f>'表7-2歷年經費支出決算表'!Q51</f>
        <v>198591</v>
      </c>
      <c r="E50" s="153">
        <f t="shared" si="4"/>
        <v>4662</v>
      </c>
      <c r="F50" s="69"/>
      <c r="G50" s="6">
        <f t="shared" si="5"/>
        <v>4662</v>
      </c>
    </row>
    <row r="51" spans="1:7" ht="23.25" hidden="1" customHeight="1" thickBot="1">
      <c r="A51" s="244"/>
      <c r="B51" s="44" t="s">
        <v>27</v>
      </c>
      <c r="C51" s="45">
        <f>SUM(C49:C50)</f>
        <v>4358120</v>
      </c>
      <c r="D51" s="45">
        <f>SUM(D49:D50)</f>
        <v>4640884</v>
      </c>
      <c r="E51" s="156">
        <f t="shared" si="4"/>
        <v>-282764</v>
      </c>
      <c r="F51" s="159">
        <f>SUM(F49:F50)</f>
        <v>0</v>
      </c>
      <c r="G51" s="46">
        <f t="shared" si="5"/>
        <v>-282764</v>
      </c>
    </row>
    <row r="52" spans="1:7" ht="15.75" customHeight="1">
      <c r="A52" s="248" t="s">
        <v>129</v>
      </c>
      <c r="B52" s="12" t="s">
        <v>5</v>
      </c>
      <c r="C52" s="8">
        <v>4254956</v>
      </c>
      <c r="D52" s="8">
        <v>4493451</v>
      </c>
      <c r="E52" s="155">
        <f t="shared" ref="E52:E57" si="6">C52-D52</f>
        <v>-238495</v>
      </c>
      <c r="F52" s="67">
        <v>531064</v>
      </c>
      <c r="G52" s="15">
        <f t="shared" ref="G52:G57" si="7">E52+F52</f>
        <v>292569</v>
      </c>
    </row>
    <row r="53" spans="1:7" ht="16.5">
      <c r="A53" s="249"/>
      <c r="B53" s="11" t="s">
        <v>35</v>
      </c>
      <c r="C53" s="5">
        <v>240427</v>
      </c>
      <c r="D53" s="5">
        <v>214942</v>
      </c>
      <c r="E53" s="153">
        <f t="shared" si="6"/>
        <v>25485</v>
      </c>
      <c r="F53" s="69">
        <v>24956</v>
      </c>
      <c r="G53" s="6">
        <f t="shared" si="7"/>
        <v>50441</v>
      </c>
    </row>
    <row r="54" spans="1:7" ht="17.25" thickBot="1">
      <c r="A54" s="250"/>
      <c r="B54" s="44" t="s">
        <v>27</v>
      </c>
      <c r="C54" s="45">
        <f>SUM(C52:C53)</f>
        <v>4495383</v>
      </c>
      <c r="D54" s="45">
        <f>SUM(D52:D53)</f>
        <v>4708393</v>
      </c>
      <c r="E54" s="156">
        <f t="shared" si="6"/>
        <v>-213010</v>
      </c>
      <c r="F54" s="159">
        <f>SUM(F52:F53)</f>
        <v>556020</v>
      </c>
      <c r="G54" s="46">
        <f t="shared" si="7"/>
        <v>343010</v>
      </c>
    </row>
    <row r="55" spans="1:7" ht="15.75" customHeight="1">
      <c r="A55" s="248" t="s">
        <v>130</v>
      </c>
      <c r="B55" s="12" t="s">
        <v>5</v>
      </c>
      <c r="C55" s="8">
        <v>4334734</v>
      </c>
      <c r="D55" s="8">
        <v>4539867</v>
      </c>
      <c r="E55" s="155">
        <f t="shared" si="6"/>
        <v>-205133</v>
      </c>
      <c r="F55" s="67">
        <v>515824</v>
      </c>
      <c r="G55" s="15">
        <f t="shared" si="7"/>
        <v>310691</v>
      </c>
    </row>
    <row r="56" spans="1:7" ht="16.5">
      <c r="A56" s="249"/>
      <c r="B56" s="11" t="s">
        <v>35</v>
      </c>
      <c r="C56" s="5">
        <v>229990</v>
      </c>
      <c r="D56" s="5">
        <v>226046</v>
      </c>
      <c r="E56" s="153">
        <f t="shared" si="6"/>
        <v>3944</v>
      </c>
      <c r="F56" s="69">
        <v>24249</v>
      </c>
      <c r="G56" s="6">
        <f t="shared" si="7"/>
        <v>28193</v>
      </c>
    </row>
    <row r="57" spans="1:7" ht="17.25" thickBot="1">
      <c r="A57" s="250"/>
      <c r="B57" s="44" t="s">
        <v>27</v>
      </c>
      <c r="C57" s="45">
        <f>SUM(C55:C56)</f>
        <v>4564724</v>
      </c>
      <c r="D57" s="45">
        <f>SUM(D55:D56)</f>
        <v>4765913</v>
      </c>
      <c r="E57" s="156">
        <f t="shared" si="6"/>
        <v>-201189</v>
      </c>
      <c r="F57" s="159">
        <f>SUM(F55:F56)</f>
        <v>540073</v>
      </c>
      <c r="G57" s="46">
        <f t="shared" si="7"/>
        <v>338884</v>
      </c>
    </row>
    <row r="58" spans="1:7" ht="15.75" customHeight="1">
      <c r="A58" s="248" t="s">
        <v>134</v>
      </c>
      <c r="B58" s="12" t="s">
        <v>5</v>
      </c>
      <c r="C58" s="8">
        <v>5168387</v>
      </c>
      <c r="D58" s="8">
        <v>5229934</v>
      </c>
      <c r="E58" s="155">
        <f t="shared" ref="E58:E63" si="8">C58-D58</f>
        <v>-61547</v>
      </c>
      <c r="F58" s="67">
        <v>708320</v>
      </c>
      <c r="G58" s="15">
        <f t="shared" ref="G58:G63" si="9">E58+F58</f>
        <v>646773</v>
      </c>
    </row>
    <row r="59" spans="1:7" ht="16.5">
      <c r="A59" s="249"/>
      <c r="B59" s="11" t="s">
        <v>35</v>
      </c>
      <c r="C59" s="5">
        <v>234916</v>
      </c>
      <c r="D59" s="5">
        <v>237202</v>
      </c>
      <c r="E59" s="153">
        <f t="shared" si="8"/>
        <v>-2286</v>
      </c>
      <c r="F59" s="69">
        <v>25409</v>
      </c>
      <c r="G59" s="6">
        <f t="shared" si="9"/>
        <v>23123</v>
      </c>
    </row>
    <row r="60" spans="1:7" ht="17.25" thickBot="1">
      <c r="A60" s="250"/>
      <c r="B60" s="44" t="s">
        <v>27</v>
      </c>
      <c r="C60" s="45">
        <f>SUM(C58:C59)</f>
        <v>5403303</v>
      </c>
      <c r="D60" s="45">
        <f>SUM(D58:D59)</f>
        <v>5467136</v>
      </c>
      <c r="E60" s="156">
        <f t="shared" si="8"/>
        <v>-63833</v>
      </c>
      <c r="F60" s="159">
        <f>SUM(F58:F59)</f>
        <v>733729</v>
      </c>
      <c r="G60" s="46">
        <f t="shared" si="9"/>
        <v>669896</v>
      </c>
    </row>
    <row r="61" spans="1:7" ht="16.5">
      <c r="A61" s="248" t="s">
        <v>171</v>
      </c>
      <c r="B61" s="12" t="s">
        <v>5</v>
      </c>
      <c r="C61" s="8">
        <v>5158661</v>
      </c>
      <c r="D61" s="8">
        <v>5286847</v>
      </c>
      <c r="E61" s="155">
        <f t="shared" si="8"/>
        <v>-128186</v>
      </c>
      <c r="F61" s="67">
        <v>572953</v>
      </c>
      <c r="G61" s="15">
        <f t="shared" si="9"/>
        <v>444767</v>
      </c>
    </row>
    <row r="62" spans="1:7" ht="16.5">
      <c r="A62" s="249"/>
      <c r="B62" s="11" t="s">
        <v>35</v>
      </c>
      <c r="C62" s="5">
        <v>259163</v>
      </c>
      <c r="D62" s="5">
        <v>256399</v>
      </c>
      <c r="E62" s="153">
        <f t="shared" si="8"/>
        <v>2764</v>
      </c>
      <c r="F62" s="69">
        <v>24742</v>
      </c>
      <c r="G62" s="6">
        <f t="shared" si="9"/>
        <v>27506</v>
      </c>
    </row>
    <row r="63" spans="1:7" ht="17.25" thickBot="1">
      <c r="A63" s="250"/>
      <c r="B63" s="44" t="s">
        <v>27</v>
      </c>
      <c r="C63" s="45">
        <f>SUM(C61:C62)</f>
        <v>5417824</v>
      </c>
      <c r="D63" s="45">
        <f>SUM(D61:D62)</f>
        <v>5543246</v>
      </c>
      <c r="E63" s="156">
        <f t="shared" si="8"/>
        <v>-125422</v>
      </c>
      <c r="F63" s="159">
        <f>SUM(F61:F62)</f>
        <v>597695</v>
      </c>
      <c r="G63" s="46">
        <f t="shared" si="9"/>
        <v>472273</v>
      </c>
    </row>
    <row r="64" spans="1:7" ht="16.5">
      <c r="A64" s="248" t="s">
        <v>177</v>
      </c>
      <c r="B64" s="12" t="s">
        <v>5</v>
      </c>
      <c r="C64" s="8">
        <v>5160343</v>
      </c>
      <c r="D64" s="8">
        <v>5238396</v>
      </c>
      <c r="E64" s="155">
        <f t="shared" ref="E64:E66" si="10">C64-D64</f>
        <v>-78053</v>
      </c>
      <c r="F64" s="67">
        <v>605577</v>
      </c>
      <c r="G64" s="15">
        <f t="shared" ref="G64:G66" si="11">E64+F64</f>
        <v>527524</v>
      </c>
    </row>
    <row r="65" spans="1:7" ht="16.5">
      <c r="A65" s="249"/>
      <c r="B65" s="11" t="s">
        <v>35</v>
      </c>
      <c r="C65" s="5">
        <v>263162</v>
      </c>
      <c r="D65" s="5">
        <v>261605</v>
      </c>
      <c r="E65" s="153">
        <f t="shared" si="10"/>
        <v>1557</v>
      </c>
      <c r="F65" s="69">
        <v>27669</v>
      </c>
      <c r="G65" s="6">
        <f t="shared" si="11"/>
        <v>29226</v>
      </c>
    </row>
    <row r="66" spans="1:7" ht="17.25" thickBot="1">
      <c r="A66" s="250"/>
      <c r="B66" s="44" t="s">
        <v>27</v>
      </c>
      <c r="C66" s="45">
        <f>SUM(C64:C65)</f>
        <v>5423505</v>
      </c>
      <c r="D66" s="45">
        <f>SUM(D64:D65)</f>
        <v>5500001</v>
      </c>
      <c r="E66" s="156">
        <f t="shared" si="10"/>
        <v>-76496</v>
      </c>
      <c r="F66" s="159">
        <f>SUM(F64:F65)</f>
        <v>633246</v>
      </c>
      <c r="G66" s="46">
        <f t="shared" si="11"/>
        <v>556750</v>
      </c>
    </row>
    <row r="67" spans="1:7" ht="16.5">
      <c r="A67" s="248" t="s">
        <v>183</v>
      </c>
      <c r="B67" s="12" t="s">
        <v>5</v>
      </c>
      <c r="C67" s="8">
        <v>5124992</v>
      </c>
      <c r="D67" s="8">
        <v>5296614</v>
      </c>
      <c r="E67" s="155">
        <f t="shared" ref="E67:E69" si="12">C67-D67</f>
        <v>-171622</v>
      </c>
      <c r="F67" s="67">
        <v>634197</v>
      </c>
      <c r="G67" s="15">
        <f t="shared" ref="G67:G69" si="13">E67+F67</f>
        <v>462575</v>
      </c>
    </row>
    <row r="68" spans="1:7" ht="16.5">
      <c r="A68" s="249"/>
      <c r="B68" s="11" t="s">
        <v>35</v>
      </c>
      <c r="C68" s="5">
        <v>226603</v>
      </c>
      <c r="D68" s="5">
        <v>243162</v>
      </c>
      <c r="E68" s="153">
        <f t="shared" si="12"/>
        <v>-16559</v>
      </c>
      <c r="F68" s="69">
        <v>29282</v>
      </c>
      <c r="G68" s="6">
        <f t="shared" si="13"/>
        <v>12723</v>
      </c>
    </row>
    <row r="69" spans="1:7" ht="17.25" thickBot="1">
      <c r="A69" s="250"/>
      <c r="B69" s="44" t="s">
        <v>27</v>
      </c>
      <c r="C69" s="45">
        <f>SUM(C67:C68)</f>
        <v>5351595</v>
      </c>
      <c r="D69" s="45">
        <f>SUM(D67:D68)</f>
        <v>5539776</v>
      </c>
      <c r="E69" s="156">
        <f t="shared" si="12"/>
        <v>-188181</v>
      </c>
      <c r="F69" s="159">
        <f>SUM(F67:F68)</f>
        <v>663479</v>
      </c>
      <c r="G69" s="46">
        <f t="shared" si="13"/>
        <v>475298</v>
      </c>
    </row>
    <row r="70" spans="1:7" ht="16.5">
      <c r="A70" s="248" t="s">
        <v>188</v>
      </c>
      <c r="B70" s="12" t="s">
        <v>5</v>
      </c>
      <c r="C70" s="8">
        <v>5596882</v>
      </c>
      <c r="D70" s="8">
        <v>5852478</v>
      </c>
      <c r="E70" s="155">
        <f t="shared" ref="E70:E75" si="14">C70-D70</f>
        <v>-255596</v>
      </c>
      <c r="F70" s="67">
        <v>679637</v>
      </c>
      <c r="G70" s="15">
        <f t="shared" ref="G70:G75" si="15">E70+F70</f>
        <v>424041</v>
      </c>
    </row>
    <row r="71" spans="1:7" ht="16.5">
      <c r="A71" s="249"/>
      <c r="B71" s="11" t="s">
        <v>35</v>
      </c>
      <c r="C71" s="5">
        <v>253453</v>
      </c>
      <c r="D71" s="5">
        <v>267782</v>
      </c>
      <c r="E71" s="153">
        <f t="shared" si="14"/>
        <v>-14329</v>
      </c>
      <c r="F71" s="69">
        <v>29178</v>
      </c>
      <c r="G71" s="6">
        <f t="shared" si="15"/>
        <v>14849</v>
      </c>
    </row>
    <row r="72" spans="1:7" ht="17.25" thickBot="1">
      <c r="A72" s="250"/>
      <c r="B72" s="44" t="s">
        <v>27</v>
      </c>
      <c r="C72" s="45">
        <f>SUM(C70:C71)</f>
        <v>5850335</v>
      </c>
      <c r="D72" s="45">
        <f>SUM(D70:D71)</f>
        <v>6120260</v>
      </c>
      <c r="E72" s="156">
        <f t="shared" si="14"/>
        <v>-269925</v>
      </c>
      <c r="F72" s="159">
        <f>SUM(F70:F71)</f>
        <v>708815</v>
      </c>
      <c r="G72" s="46">
        <f t="shared" si="15"/>
        <v>438890</v>
      </c>
    </row>
    <row r="73" spans="1:7" ht="16.5">
      <c r="A73" s="248" t="s">
        <v>193</v>
      </c>
      <c r="B73" s="12" t="s">
        <v>5</v>
      </c>
      <c r="C73" s="8">
        <v>5783427</v>
      </c>
      <c r="D73" s="8">
        <v>6202646</v>
      </c>
      <c r="E73" s="155">
        <f t="shared" si="14"/>
        <v>-419219</v>
      </c>
      <c r="F73" s="67">
        <v>868374</v>
      </c>
      <c r="G73" s="15">
        <f t="shared" si="15"/>
        <v>449155</v>
      </c>
    </row>
    <row r="74" spans="1:7" ht="16.5">
      <c r="A74" s="249"/>
      <c r="B74" s="11" t="s">
        <v>35</v>
      </c>
      <c r="C74" s="203">
        <v>285392</v>
      </c>
      <c r="D74" s="203">
        <v>296342</v>
      </c>
      <c r="E74" s="153">
        <f t="shared" si="14"/>
        <v>-10950</v>
      </c>
      <c r="F74" s="204">
        <v>34168</v>
      </c>
      <c r="G74" s="6">
        <f t="shared" si="15"/>
        <v>23218</v>
      </c>
    </row>
    <row r="75" spans="1:7" ht="17.25" thickBot="1">
      <c r="A75" s="250"/>
      <c r="B75" s="44" t="s">
        <v>27</v>
      </c>
      <c r="C75" s="45">
        <f>SUM(C73:C74)</f>
        <v>6068819</v>
      </c>
      <c r="D75" s="45">
        <f>SUM(D73:D74)</f>
        <v>6498988</v>
      </c>
      <c r="E75" s="156">
        <f t="shared" si="14"/>
        <v>-430169</v>
      </c>
      <c r="F75" s="159">
        <f>SUM(F73:F74)</f>
        <v>902542</v>
      </c>
      <c r="G75" s="46">
        <f t="shared" si="15"/>
        <v>472373</v>
      </c>
    </row>
    <row r="76" spans="1:7" ht="16.5">
      <c r="A76" s="248" t="s">
        <v>201</v>
      </c>
      <c r="B76" s="12" t="s">
        <v>5</v>
      </c>
      <c r="C76" s="8">
        <v>6256886</v>
      </c>
      <c r="D76" s="8">
        <v>6532856</v>
      </c>
      <c r="E76" s="155">
        <f t="shared" ref="E76:E78" si="16">C76-D76</f>
        <v>-275970</v>
      </c>
      <c r="F76" s="67">
        <v>849286</v>
      </c>
      <c r="G76" s="15">
        <f t="shared" ref="G76:G78" si="17">E76+F76</f>
        <v>573316</v>
      </c>
    </row>
    <row r="77" spans="1:7" ht="16.5">
      <c r="A77" s="249"/>
      <c r="B77" s="11" t="s">
        <v>35</v>
      </c>
      <c r="C77" s="5">
        <v>233901</v>
      </c>
      <c r="D77" s="5">
        <v>284521</v>
      </c>
      <c r="E77" s="153">
        <f t="shared" si="16"/>
        <v>-50620</v>
      </c>
      <c r="F77" s="69">
        <v>39949</v>
      </c>
      <c r="G77" s="6">
        <f t="shared" si="17"/>
        <v>-10671</v>
      </c>
    </row>
    <row r="78" spans="1:7" ht="17.25" thickBot="1">
      <c r="A78" s="250"/>
      <c r="B78" s="44" t="s">
        <v>27</v>
      </c>
      <c r="C78" s="45">
        <f>SUM(C76:C77)</f>
        <v>6490787</v>
      </c>
      <c r="D78" s="45">
        <f>SUM(D76:D77)</f>
        <v>6817377</v>
      </c>
      <c r="E78" s="156">
        <f t="shared" si="16"/>
        <v>-326590</v>
      </c>
      <c r="F78" s="159">
        <f>SUM(F76:F77)</f>
        <v>889235</v>
      </c>
      <c r="G78" s="46">
        <f t="shared" si="17"/>
        <v>562645</v>
      </c>
    </row>
  </sheetData>
  <mergeCells count="26">
    <mergeCell ref="A76:A78"/>
    <mergeCell ref="A70:A72"/>
    <mergeCell ref="A67:A69"/>
    <mergeCell ref="A37:A39"/>
    <mergeCell ref="A64:A66"/>
    <mergeCell ref="A61:A63"/>
    <mergeCell ref="A58:A60"/>
    <mergeCell ref="A55:A57"/>
    <mergeCell ref="A52:A54"/>
    <mergeCell ref="A49:A51"/>
    <mergeCell ref="A46:A48"/>
    <mergeCell ref="A43:A45"/>
    <mergeCell ref="A40:A42"/>
    <mergeCell ref="A73:A75"/>
    <mergeCell ref="A31:A33"/>
    <mergeCell ref="A34:A36"/>
    <mergeCell ref="A1:E1"/>
    <mergeCell ref="A28:A30"/>
    <mergeCell ref="A4:A6"/>
    <mergeCell ref="A7:A9"/>
    <mergeCell ref="A10:A12"/>
    <mergeCell ref="A13:A15"/>
    <mergeCell ref="A16:A18"/>
    <mergeCell ref="A19:A21"/>
    <mergeCell ref="A22:A24"/>
    <mergeCell ref="A25:A27"/>
  </mergeCells>
  <phoneticPr fontId="2" type="noConversion"/>
  <printOptions horizontalCentered="1"/>
  <pageMargins left="0" right="0" top="0.98425196850393704" bottom="0.98425196850393704" header="0.51181102362204722" footer="0.51181102362204722"/>
  <pageSetup paperSize="8" scale="7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Y82"/>
  <sheetViews>
    <sheetView view="pageBreakPreview" zoomScaleNormal="100" zoomScaleSheetLayoutView="100" workbookViewId="0">
      <pane xSplit="2" ySplit="5" topLeftCell="C21" activePane="bottomRight" state="frozen"/>
      <selection pane="topRight" activeCell="C1" sqref="C1"/>
      <selection pane="bottomLeft" activeCell="A6" sqref="A6"/>
      <selection pane="bottomRight" activeCell="C64" sqref="C64"/>
    </sheetView>
  </sheetViews>
  <sheetFormatPr defaultColWidth="9" defaultRowHeight="15.75"/>
  <cols>
    <col min="1" max="1" width="10.5" style="1" customWidth="1"/>
    <col min="2" max="2" width="13.875" style="1" customWidth="1"/>
    <col min="3" max="4" width="13.375" style="1" customWidth="1"/>
    <col min="5" max="5" width="15.625" style="1" customWidth="1"/>
    <col min="6" max="12" width="13.375" style="1" customWidth="1"/>
    <col min="13" max="13" width="14.75" style="1" customWidth="1"/>
    <col min="14" max="15" width="13.375" style="1" customWidth="1"/>
    <col min="16" max="16384" width="9" style="1"/>
  </cols>
  <sheetData>
    <row r="1" spans="1:25" s="60" customFormat="1" ht="20.25" customHeight="1">
      <c r="A1" s="236" t="s">
        <v>202</v>
      </c>
      <c r="B1" s="245"/>
      <c r="C1" s="245"/>
      <c r="D1" s="245"/>
      <c r="E1" s="245"/>
      <c r="F1" s="245"/>
      <c r="G1" s="245"/>
      <c r="H1" s="245"/>
      <c r="I1" s="245"/>
      <c r="J1" s="245"/>
      <c r="K1" s="245"/>
      <c r="L1" s="245"/>
      <c r="M1" s="245"/>
      <c r="N1" s="245"/>
      <c r="O1" s="245"/>
      <c r="P1" s="59"/>
      <c r="Q1" s="59"/>
      <c r="R1" s="59"/>
      <c r="S1" s="59"/>
      <c r="T1" s="59"/>
      <c r="U1" s="59"/>
      <c r="V1" s="59"/>
      <c r="W1" s="59"/>
      <c r="X1" s="59"/>
      <c r="Y1" s="59"/>
    </row>
    <row r="3" spans="1:25" ht="17.25" thickBot="1">
      <c r="O3" s="10" t="s">
        <v>32</v>
      </c>
    </row>
    <row r="4" spans="1:25" ht="16.5">
      <c r="A4" s="253" t="s">
        <v>29</v>
      </c>
      <c r="B4" s="255" t="s">
        <v>0</v>
      </c>
      <c r="C4" s="261" t="s">
        <v>50</v>
      </c>
      <c r="D4" s="260"/>
      <c r="E4" s="260"/>
      <c r="F4" s="260"/>
      <c r="G4" s="260"/>
      <c r="H4" s="262" t="s">
        <v>17</v>
      </c>
      <c r="I4" s="260"/>
      <c r="J4" s="260"/>
      <c r="K4" s="257" t="s">
        <v>1</v>
      </c>
      <c r="L4" s="259" t="s">
        <v>17</v>
      </c>
      <c r="M4" s="260"/>
      <c r="N4" s="260"/>
      <c r="O4" s="257" t="s">
        <v>19</v>
      </c>
    </row>
    <row r="5" spans="1:25" ht="33.75" thickBot="1">
      <c r="A5" s="254"/>
      <c r="B5" s="256"/>
      <c r="C5" s="27" t="s">
        <v>2</v>
      </c>
      <c r="D5" s="22" t="s">
        <v>44</v>
      </c>
      <c r="E5" s="186" t="s">
        <v>167</v>
      </c>
      <c r="F5" s="22" t="s">
        <v>45</v>
      </c>
      <c r="G5" s="75" t="s">
        <v>46</v>
      </c>
      <c r="H5" s="61" t="s">
        <v>47</v>
      </c>
      <c r="I5" s="21" t="s">
        <v>48</v>
      </c>
      <c r="J5" s="75" t="s">
        <v>46</v>
      </c>
      <c r="K5" s="258"/>
      <c r="L5" s="26" t="s">
        <v>49</v>
      </c>
      <c r="M5" s="186" t="s">
        <v>168</v>
      </c>
      <c r="N5" s="82" t="s">
        <v>46</v>
      </c>
      <c r="O5" s="258"/>
    </row>
    <row r="6" spans="1:25" ht="20.25" customHeight="1">
      <c r="A6" s="266" t="s">
        <v>33</v>
      </c>
      <c r="B6" s="23" t="s">
        <v>34</v>
      </c>
      <c r="C6" s="67">
        <v>1297768</v>
      </c>
      <c r="D6" s="14"/>
      <c r="E6" s="14"/>
      <c r="F6" s="14">
        <v>112591</v>
      </c>
      <c r="G6" s="76">
        <f>SUM(C6:F6)</f>
        <v>1410359</v>
      </c>
      <c r="H6" s="14">
        <f>3961-I6</f>
        <v>2941</v>
      </c>
      <c r="I6" s="102">
        <v>1020</v>
      </c>
      <c r="J6" s="76">
        <f>SUM(H6:I6)</f>
        <v>3961</v>
      </c>
      <c r="K6" s="80">
        <f>G6+J6</f>
        <v>1414320</v>
      </c>
      <c r="L6" s="68">
        <v>254169</v>
      </c>
      <c r="M6" s="14"/>
      <c r="N6" s="76">
        <f>SUM(L6:M6)</f>
        <v>254169</v>
      </c>
      <c r="O6" s="83">
        <f>K6+N6</f>
        <v>1668489</v>
      </c>
      <c r="P6" s="4"/>
    </row>
    <row r="7" spans="1:25" ht="20.25" customHeight="1">
      <c r="A7" s="264"/>
      <c r="B7" s="24" t="s">
        <v>35</v>
      </c>
      <c r="C7" s="69"/>
      <c r="D7" s="5"/>
      <c r="E7" s="5"/>
      <c r="F7" s="5">
        <v>41554</v>
      </c>
      <c r="G7" s="77">
        <f t="shared" ref="G7:G41" si="0">SUM(C7:F7)</f>
        <v>41554</v>
      </c>
      <c r="H7" s="5">
        <v>5100</v>
      </c>
      <c r="I7" s="5"/>
      <c r="J7" s="77">
        <f>SUM(H7:I7)</f>
        <v>5100</v>
      </c>
      <c r="K7" s="81">
        <f>G7+J7</f>
        <v>46654</v>
      </c>
      <c r="L7" s="70">
        <v>2235</v>
      </c>
      <c r="M7" s="5"/>
      <c r="N7" s="77">
        <f>SUM(L7:M7)</f>
        <v>2235</v>
      </c>
      <c r="O7" s="81">
        <f t="shared" ref="O7:O41" si="1">K7+N7</f>
        <v>48889</v>
      </c>
      <c r="P7" s="4"/>
    </row>
    <row r="8" spans="1:25" ht="20.25" customHeight="1" thickBot="1">
      <c r="A8" s="265"/>
      <c r="B8" s="71" t="s">
        <v>1</v>
      </c>
      <c r="C8" s="85">
        <f>SUM(C6:C7)</f>
        <v>1297768</v>
      </c>
      <c r="D8" s="86">
        <f>SUM(D6:D7)</f>
        <v>0</v>
      </c>
      <c r="E8" s="86">
        <f>SUM(E6:E7)</f>
        <v>0</v>
      </c>
      <c r="F8" s="86">
        <f>SUM(F6:F7)</f>
        <v>154145</v>
      </c>
      <c r="G8" s="87">
        <f t="shared" si="0"/>
        <v>1451913</v>
      </c>
      <c r="H8" s="86">
        <f>SUM(H6:H7)</f>
        <v>8041</v>
      </c>
      <c r="I8" s="86">
        <f>SUM(I6:I7)</f>
        <v>1020</v>
      </c>
      <c r="J8" s="88">
        <f t="shared" ref="J8:J41" si="2">SUM(H8:I8)</f>
        <v>9061</v>
      </c>
      <c r="K8" s="89">
        <f t="shared" ref="K8:K41" si="3">G8+J8</f>
        <v>1460974</v>
      </c>
      <c r="L8" s="90">
        <f>SUM(L6:L7)</f>
        <v>256404</v>
      </c>
      <c r="M8" s="90">
        <f>SUM(M6:M7)</f>
        <v>0</v>
      </c>
      <c r="N8" s="88">
        <f t="shared" ref="N8:N41" si="4">SUM(L8:M8)</f>
        <v>256404</v>
      </c>
      <c r="O8" s="91">
        <f t="shared" si="1"/>
        <v>1717378</v>
      </c>
      <c r="P8" s="4"/>
    </row>
    <row r="9" spans="1:25" ht="20.25" customHeight="1">
      <c r="A9" s="266" t="s">
        <v>6</v>
      </c>
      <c r="B9" s="23" t="s">
        <v>34</v>
      </c>
      <c r="C9" s="67">
        <v>1301544</v>
      </c>
      <c r="D9" s="14"/>
      <c r="E9" s="14"/>
      <c r="F9" s="14">
        <v>139312</v>
      </c>
      <c r="G9" s="76">
        <f t="shared" si="0"/>
        <v>1440856</v>
      </c>
      <c r="H9" s="14">
        <v>4135</v>
      </c>
      <c r="I9" s="14">
        <v>2151</v>
      </c>
      <c r="J9" s="76">
        <f t="shared" si="2"/>
        <v>6286</v>
      </c>
      <c r="K9" s="80">
        <f t="shared" si="3"/>
        <v>1447142</v>
      </c>
      <c r="L9" s="68">
        <v>319275</v>
      </c>
      <c r="M9" s="14"/>
      <c r="N9" s="76">
        <f t="shared" si="4"/>
        <v>319275</v>
      </c>
      <c r="O9" s="83">
        <f t="shared" si="1"/>
        <v>1766417</v>
      </c>
      <c r="P9" s="4"/>
    </row>
    <row r="10" spans="1:25" ht="20.25" customHeight="1">
      <c r="A10" s="264"/>
      <c r="B10" s="24" t="s">
        <v>35</v>
      </c>
      <c r="C10" s="69"/>
      <c r="D10" s="5"/>
      <c r="E10" s="5"/>
      <c r="F10" s="5">
        <v>43210</v>
      </c>
      <c r="G10" s="78">
        <f t="shared" si="0"/>
        <v>43210</v>
      </c>
      <c r="H10" s="5">
        <v>8772</v>
      </c>
      <c r="I10" s="5"/>
      <c r="J10" s="77">
        <f t="shared" si="2"/>
        <v>8772</v>
      </c>
      <c r="K10" s="81">
        <f t="shared" si="3"/>
        <v>51982</v>
      </c>
      <c r="L10" s="70">
        <v>5848</v>
      </c>
      <c r="M10" s="5"/>
      <c r="N10" s="77">
        <f t="shared" si="4"/>
        <v>5848</v>
      </c>
      <c r="O10" s="81">
        <f t="shared" si="1"/>
        <v>57830</v>
      </c>
      <c r="P10" s="4"/>
    </row>
    <row r="11" spans="1:25" ht="20.25" customHeight="1" thickBot="1">
      <c r="A11" s="265"/>
      <c r="B11" s="71" t="s">
        <v>1</v>
      </c>
      <c r="C11" s="85">
        <f>SUM(C9:C10)</f>
        <v>1301544</v>
      </c>
      <c r="D11" s="92">
        <f>SUM(D9:D10)</f>
        <v>0</v>
      </c>
      <c r="E11" s="92">
        <f>SUM(E9:E10)</f>
        <v>0</v>
      </c>
      <c r="F11" s="86">
        <f>SUM(F9:F10)</f>
        <v>182522</v>
      </c>
      <c r="G11" s="86">
        <f t="shared" si="0"/>
        <v>1484066</v>
      </c>
      <c r="H11" s="86">
        <f>SUM(H9:H10)</f>
        <v>12907</v>
      </c>
      <c r="I11" s="86">
        <f>SUM(I9:I10)</f>
        <v>2151</v>
      </c>
      <c r="J11" s="88">
        <f t="shared" si="2"/>
        <v>15058</v>
      </c>
      <c r="K11" s="93">
        <f t="shared" si="3"/>
        <v>1499124</v>
      </c>
      <c r="L11" s="90">
        <f>SUM(L9:L10)</f>
        <v>325123</v>
      </c>
      <c r="M11" s="90">
        <f>SUM(M9:M10)</f>
        <v>0</v>
      </c>
      <c r="N11" s="86">
        <f t="shared" si="4"/>
        <v>325123</v>
      </c>
      <c r="O11" s="91">
        <f t="shared" si="1"/>
        <v>1824247</v>
      </c>
      <c r="P11" s="4"/>
    </row>
    <row r="12" spans="1:25" ht="20.25" customHeight="1">
      <c r="A12" s="266" t="s">
        <v>7</v>
      </c>
      <c r="B12" s="23" t="s">
        <v>34</v>
      </c>
      <c r="C12" s="67">
        <v>1361941</v>
      </c>
      <c r="D12" s="14"/>
      <c r="E12" s="14"/>
      <c r="F12" s="14">
        <v>154348</v>
      </c>
      <c r="G12" s="76">
        <f t="shared" si="0"/>
        <v>1516289</v>
      </c>
      <c r="H12" s="14">
        <v>6362</v>
      </c>
      <c r="I12" s="14">
        <v>4700</v>
      </c>
      <c r="J12" s="76">
        <f t="shared" si="2"/>
        <v>11062</v>
      </c>
      <c r="K12" s="73">
        <f t="shared" si="3"/>
        <v>1527351</v>
      </c>
      <c r="L12" s="68">
        <v>339822</v>
      </c>
      <c r="M12" s="14"/>
      <c r="N12" s="74">
        <f t="shared" si="4"/>
        <v>339822</v>
      </c>
      <c r="O12" s="80">
        <f t="shared" si="1"/>
        <v>1867173</v>
      </c>
      <c r="P12" s="4"/>
    </row>
    <row r="13" spans="1:25" ht="20.25" customHeight="1">
      <c r="A13" s="264"/>
      <c r="B13" s="24" t="s">
        <v>35</v>
      </c>
      <c r="C13" s="69"/>
      <c r="D13" s="5"/>
      <c r="E13" s="5"/>
      <c r="F13" s="5">
        <v>38299</v>
      </c>
      <c r="G13" s="78">
        <f t="shared" si="0"/>
        <v>38299</v>
      </c>
      <c r="H13" s="5">
        <v>8504</v>
      </c>
      <c r="I13" s="5"/>
      <c r="J13" s="77">
        <f t="shared" si="2"/>
        <v>8504</v>
      </c>
      <c r="K13" s="81">
        <f t="shared" si="3"/>
        <v>46803</v>
      </c>
      <c r="L13" s="70">
        <v>8105</v>
      </c>
      <c r="M13" s="5"/>
      <c r="N13" s="77">
        <f t="shared" si="4"/>
        <v>8105</v>
      </c>
      <c r="O13" s="84">
        <f t="shared" si="1"/>
        <v>54908</v>
      </c>
      <c r="P13" s="4"/>
    </row>
    <row r="14" spans="1:25" ht="20.25" customHeight="1" thickBot="1">
      <c r="A14" s="265"/>
      <c r="B14" s="25" t="s">
        <v>1</v>
      </c>
      <c r="C14" s="94">
        <f>SUM(C12:C13)</f>
        <v>1361941</v>
      </c>
      <c r="D14" s="86">
        <f>SUM(D12:D13)</f>
        <v>0</v>
      </c>
      <c r="E14" s="86">
        <f>SUM(E12:E13)</f>
        <v>0</v>
      </c>
      <c r="F14" s="86">
        <f>SUM(F12:F13)</f>
        <v>192647</v>
      </c>
      <c r="G14" s="86">
        <f t="shared" si="0"/>
        <v>1554588</v>
      </c>
      <c r="H14" s="86">
        <f>SUM(H12:H13)</f>
        <v>14866</v>
      </c>
      <c r="I14" s="86">
        <f>SUM(I12:I13)</f>
        <v>4700</v>
      </c>
      <c r="J14" s="86">
        <f t="shared" si="2"/>
        <v>19566</v>
      </c>
      <c r="K14" s="89">
        <f t="shared" si="3"/>
        <v>1574154</v>
      </c>
      <c r="L14" s="90">
        <f>SUM(L12:L13)</f>
        <v>347927</v>
      </c>
      <c r="M14" s="90">
        <f>SUM(M12:M13)</f>
        <v>0</v>
      </c>
      <c r="N14" s="86">
        <f t="shared" si="4"/>
        <v>347927</v>
      </c>
      <c r="O14" s="93">
        <f t="shared" si="1"/>
        <v>1922081</v>
      </c>
      <c r="P14" s="4"/>
    </row>
    <row r="15" spans="1:25" ht="20.25" customHeight="1">
      <c r="A15" s="266" t="s">
        <v>8</v>
      </c>
      <c r="B15" s="23" t="s">
        <v>34</v>
      </c>
      <c r="C15" s="67">
        <v>1156551</v>
      </c>
      <c r="D15" s="14"/>
      <c r="E15" s="14"/>
      <c r="F15" s="14">
        <v>353071</v>
      </c>
      <c r="G15" s="76">
        <f t="shared" si="0"/>
        <v>1509622</v>
      </c>
      <c r="H15" s="14">
        <v>22232</v>
      </c>
      <c r="I15" s="14">
        <v>6057</v>
      </c>
      <c r="J15" s="74">
        <f t="shared" si="2"/>
        <v>28289</v>
      </c>
      <c r="K15" s="80">
        <f t="shared" si="3"/>
        <v>1537911</v>
      </c>
      <c r="L15" s="68">
        <v>403053</v>
      </c>
      <c r="M15" s="14"/>
      <c r="N15" s="74">
        <f t="shared" si="4"/>
        <v>403053</v>
      </c>
      <c r="O15" s="80">
        <f t="shared" si="1"/>
        <v>1940964</v>
      </c>
      <c r="P15" s="4"/>
    </row>
    <row r="16" spans="1:25" ht="20.25" customHeight="1">
      <c r="A16" s="264"/>
      <c r="B16" s="24" t="s">
        <v>35</v>
      </c>
      <c r="C16" s="69"/>
      <c r="D16" s="5"/>
      <c r="E16" s="5"/>
      <c r="F16" s="5">
        <v>39967</v>
      </c>
      <c r="G16" s="78">
        <f t="shared" si="0"/>
        <v>39967</v>
      </c>
      <c r="H16" s="5">
        <v>6321</v>
      </c>
      <c r="I16" s="5"/>
      <c r="J16" s="77">
        <f t="shared" si="2"/>
        <v>6321</v>
      </c>
      <c r="K16" s="81">
        <f t="shared" si="3"/>
        <v>46288</v>
      </c>
      <c r="L16" s="70">
        <v>6324</v>
      </c>
      <c r="M16" s="5"/>
      <c r="N16" s="77">
        <f t="shared" si="4"/>
        <v>6324</v>
      </c>
      <c r="O16" s="84">
        <f t="shared" si="1"/>
        <v>52612</v>
      </c>
      <c r="P16" s="4"/>
    </row>
    <row r="17" spans="1:16" ht="20.25" customHeight="1" thickBot="1">
      <c r="A17" s="265"/>
      <c r="B17" s="71" t="s">
        <v>1</v>
      </c>
      <c r="C17" s="94">
        <f>SUM(C15:C16)</f>
        <v>1156551</v>
      </c>
      <c r="D17" s="86">
        <f>SUM(D15:D16)</f>
        <v>0</v>
      </c>
      <c r="E17" s="86">
        <f>SUM(E15:E16)</f>
        <v>0</v>
      </c>
      <c r="F17" s="86">
        <f>SUM(F15:F16)</f>
        <v>393038</v>
      </c>
      <c r="G17" s="86">
        <f t="shared" si="0"/>
        <v>1549589</v>
      </c>
      <c r="H17" s="86">
        <f>SUM(H15:H16)</f>
        <v>28553</v>
      </c>
      <c r="I17" s="86">
        <f>SUM(I15:I16)</f>
        <v>6057</v>
      </c>
      <c r="J17" s="88">
        <f t="shared" si="2"/>
        <v>34610</v>
      </c>
      <c r="K17" s="89">
        <f t="shared" si="3"/>
        <v>1584199</v>
      </c>
      <c r="L17" s="90">
        <f>SUM(L15:L16)</f>
        <v>409377</v>
      </c>
      <c r="M17" s="90">
        <f>SUM(M15:M16)</f>
        <v>0</v>
      </c>
      <c r="N17" s="86">
        <f t="shared" si="4"/>
        <v>409377</v>
      </c>
      <c r="O17" s="93">
        <f t="shared" si="1"/>
        <v>1993576</v>
      </c>
      <c r="P17" s="4"/>
    </row>
    <row r="18" spans="1:16" ht="20.25" customHeight="1">
      <c r="A18" s="266" t="s">
        <v>9</v>
      </c>
      <c r="B18" s="23" t="s">
        <v>34</v>
      </c>
      <c r="C18" s="67">
        <v>1299341</v>
      </c>
      <c r="D18" s="14"/>
      <c r="E18" s="14"/>
      <c r="F18" s="14">
        <v>294657</v>
      </c>
      <c r="G18" s="79">
        <f t="shared" si="0"/>
        <v>1593998</v>
      </c>
      <c r="H18" s="14">
        <v>31272</v>
      </c>
      <c r="I18" s="14">
        <v>7604</v>
      </c>
      <c r="J18" s="76">
        <f t="shared" si="2"/>
        <v>38876</v>
      </c>
      <c r="K18" s="80">
        <f t="shared" si="3"/>
        <v>1632874</v>
      </c>
      <c r="L18" s="68">
        <v>391185</v>
      </c>
      <c r="M18" s="14"/>
      <c r="N18" s="74">
        <f t="shared" si="4"/>
        <v>391185</v>
      </c>
      <c r="O18" s="80">
        <f t="shared" si="1"/>
        <v>2024059</v>
      </c>
      <c r="P18" s="4"/>
    </row>
    <row r="19" spans="1:16" ht="20.25" customHeight="1">
      <c r="A19" s="264"/>
      <c r="B19" s="24" t="s">
        <v>35</v>
      </c>
      <c r="C19" s="69"/>
      <c r="D19" s="5"/>
      <c r="E19" s="5"/>
      <c r="F19" s="5">
        <v>43193</v>
      </c>
      <c r="G19" s="77">
        <f t="shared" si="0"/>
        <v>43193</v>
      </c>
      <c r="H19" s="5">
        <v>7635</v>
      </c>
      <c r="I19" s="5">
        <v>1051</v>
      </c>
      <c r="J19" s="77">
        <f t="shared" si="2"/>
        <v>8686</v>
      </c>
      <c r="K19" s="81">
        <f t="shared" si="3"/>
        <v>51879</v>
      </c>
      <c r="L19" s="70">
        <v>8860</v>
      </c>
      <c r="M19" s="5"/>
      <c r="N19" s="77">
        <f t="shared" si="4"/>
        <v>8860</v>
      </c>
      <c r="O19" s="84">
        <f t="shared" si="1"/>
        <v>60739</v>
      </c>
      <c r="P19" s="4"/>
    </row>
    <row r="20" spans="1:16" ht="20.25" customHeight="1" thickBot="1">
      <c r="A20" s="265"/>
      <c r="B20" s="71" t="s">
        <v>1</v>
      </c>
      <c r="C20" s="85">
        <f>SUM(C18:C19)</f>
        <v>1299341</v>
      </c>
      <c r="D20" s="86">
        <f>SUM(D18:D19)</f>
        <v>0</v>
      </c>
      <c r="E20" s="95">
        <f>SUM(E18:E19)</f>
        <v>0</v>
      </c>
      <c r="F20" s="86">
        <f>SUM(F18:F19)</f>
        <v>337850</v>
      </c>
      <c r="G20" s="103">
        <f t="shared" si="0"/>
        <v>1637191</v>
      </c>
      <c r="H20" s="86">
        <f>SUM(H18:H19)</f>
        <v>38907</v>
      </c>
      <c r="I20" s="86">
        <f>SUM(I18:I19)</f>
        <v>8655</v>
      </c>
      <c r="J20" s="86">
        <f t="shared" si="2"/>
        <v>47562</v>
      </c>
      <c r="K20" s="89">
        <f t="shared" si="3"/>
        <v>1684753</v>
      </c>
      <c r="L20" s="90">
        <f>SUM(L18:L19)</f>
        <v>400045</v>
      </c>
      <c r="M20" s="90">
        <f>SUM(M18:M19)</f>
        <v>0</v>
      </c>
      <c r="N20" s="88">
        <f t="shared" si="4"/>
        <v>400045</v>
      </c>
      <c r="O20" s="93">
        <f t="shared" si="1"/>
        <v>2084798</v>
      </c>
      <c r="P20" s="4"/>
    </row>
    <row r="21" spans="1:16" ht="20.25" customHeight="1">
      <c r="A21" s="266" t="s">
        <v>10</v>
      </c>
      <c r="B21" s="23" t="s">
        <v>34</v>
      </c>
      <c r="C21" s="67">
        <v>1361626</v>
      </c>
      <c r="D21" s="14"/>
      <c r="E21" s="14"/>
      <c r="F21" s="14">
        <v>292775</v>
      </c>
      <c r="G21" s="104">
        <f t="shared" si="0"/>
        <v>1654401</v>
      </c>
      <c r="H21" s="14">
        <v>36054</v>
      </c>
      <c r="I21" s="14">
        <v>7380</v>
      </c>
      <c r="J21" s="74">
        <f t="shared" si="2"/>
        <v>43434</v>
      </c>
      <c r="K21" s="80">
        <f t="shared" si="3"/>
        <v>1697835</v>
      </c>
      <c r="L21" s="68">
        <v>360228</v>
      </c>
      <c r="M21" s="14">
        <v>33047</v>
      </c>
      <c r="N21" s="76">
        <f t="shared" si="4"/>
        <v>393275</v>
      </c>
      <c r="O21" s="83">
        <f t="shared" si="1"/>
        <v>2091110</v>
      </c>
      <c r="P21" s="4"/>
    </row>
    <row r="22" spans="1:16" ht="20.25" customHeight="1">
      <c r="A22" s="264"/>
      <c r="B22" s="24" t="s">
        <v>35</v>
      </c>
      <c r="C22" s="69"/>
      <c r="D22" s="5"/>
      <c r="E22" s="5"/>
      <c r="F22" s="5">
        <v>39978</v>
      </c>
      <c r="G22" s="105">
        <f t="shared" si="0"/>
        <v>39978</v>
      </c>
      <c r="H22" s="5">
        <v>8826</v>
      </c>
      <c r="I22" s="5">
        <v>1062</v>
      </c>
      <c r="J22" s="77">
        <f t="shared" si="2"/>
        <v>9888</v>
      </c>
      <c r="K22" s="81">
        <f t="shared" si="3"/>
        <v>49866</v>
      </c>
      <c r="L22" s="70">
        <v>13928</v>
      </c>
      <c r="M22" s="5"/>
      <c r="N22" s="77">
        <f t="shared" si="4"/>
        <v>13928</v>
      </c>
      <c r="O22" s="81">
        <f t="shared" si="1"/>
        <v>63794</v>
      </c>
      <c r="P22" s="4"/>
    </row>
    <row r="23" spans="1:16" ht="20.25" customHeight="1" thickBot="1">
      <c r="A23" s="265"/>
      <c r="B23" s="71" t="s">
        <v>1</v>
      </c>
      <c r="C23" s="94">
        <f>SUM(C21:C22)</f>
        <v>1361626</v>
      </c>
      <c r="D23" s="86">
        <f>SUM(D21:D22)</f>
        <v>0</v>
      </c>
      <c r="E23" s="86">
        <f>SUM(E21:E22)</f>
        <v>0</v>
      </c>
      <c r="F23" s="86">
        <f>SUM(F21:F22)</f>
        <v>332753</v>
      </c>
      <c r="G23" s="103">
        <f t="shared" si="0"/>
        <v>1694379</v>
      </c>
      <c r="H23" s="86">
        <f>SUM(H21:H22)</f>
        <v>44880</v>
      </c>
      <c r="I23" s="86">
        <f>SUM(I21:I22)</f>
        <v>8442</v>
      </c>
      <c r="J23" s="88">
        <f t="shared" si="2"/>
        <v>53322</v>
      </c>
      <c r="K23" s="89">
        <f t="shared" si="3"/>
        <v>1747701</v>
      </c>
      <c r="L23" s="90">
        <f>SUM(L21:L22)</f>
        <v>374156</v>
      </c>
      <c r="M23" s="90">
        <f>SUM(M21:M22)</f>
        <v>33047</v>
      </c>
      <c r="N23" s="88">
        <f t="shared" si="4"/>
        <v>407203</v>
      </c>
      <c r="O23" s="91">
        <f t="shared" si="1"/>
        <v>2154904</v>
      </c>
      <c r="P23" s="4"/>
    </row>
    <row r="24" spans="1:16" ht="20.25" customHeight="1">
      <c r="A24" s="266" t="s">
        <v>28</v>
      </c>
      <c r="B24" s="23" t="s">
        <v>34</v>
      </c>
      <c r="C24" s="67">
        <v>1354839</v>
      </c>
      <c r="D24" s="14"/>
      <c r="E24" s="14"/>
      <c r="F24" s="14">
        <v>290054</v>
      </c>
      <c r="G24" s="104">
        <f t="shared" si="0"/>
        <v>1644893</v>
      </c>
      <c r="H24" s="14">
        <v>45414</v>
      </c>
      <c r="I24" s="14">
        <v>10449</v>
      </c>
      <c r="J24" s="76">
        <f t="shared" si="2"/>
        <v>55863</v>
      </c>
      <c r="K24" s="80">
        <f t="shared" si="3"/>
        <v>1700756</v>
      </c>
      <c r="L24" s="68">
        <v>344756</v>
      </c>
      <c r="M24" s="14">
        <v>64101</v>
      </c>
      <c r="N24" s="76">
        <f t="shared" si="4"/>
        <v>408857</v>
      </c>
      <c r="O24" s="80">
        <f t="shared" si="1"/>
        <v>2109613</v>
      </c>
      <c r="P24" s="4"/>
    </row>
    <row r="25" spans="1:16" ht="20.25" customHeight="1">
      <c r="A25" s="264"/>
      <c r="B25" s="24" t="s">
        <v>35</v>
      </c>
      <c r="C25" s="69"/>
      <c r="D25" s="5"/>
      <c r="E25" s="5"/>
      <c r="F25" s="5">
        <v>39250</v>
      </c>
      <c r="G25" s="105">
        <f t="shared" si="0"/>
        <v>39250</v>
      </c>
      <c r="H25" s="5">
        <v>7606</v>
      </c>
      <c r="I25" s="5">
        <v>867</v>
      </c>
      <c r="J25" s="77">
        <f t="shared" si="2"/>
        <v>8473</v>
      </c>
      <c r="K25" s="81">
        <f t="shared" si="3"/>
        <v>47723</v>
      </c>
      <c r="L25" s="70">
        <v>12019</v>
      </c>
      <c r="M25" s="5"/>
      <c r="N25" s="77">
        <f t="shared" si="4"/>
        <v>12019</v>
      </c>
      <c r="O25" s="81">
        <f t="shared" si="1"/>
        <v>59742</v>
      </c>
      <c r="P25" s="4"/>
    </row>
    <row r="26" spans="1:16" ht="20.25" customHeight="1" thickBot="1">
      <c r="A26" s="265"/>
      <c r="B26" s="71" t="s">
        <v>1</v>
      </c>
      <c r="C26" s="94">
        <f>SUM(C24:C25)</f>
        <v>1354839</v>
      </c>
      <c r="D26" s="86">
        <f>SUM(D24:D25)</f>
        <v>0</v>
      </c>
      <c r="E26" s="86">
        <f>SUM(E24:E25)</f>
        <v>0</v>
      </c>
      <c r="F26" s="86">
        <f>SUM(F24:F25)</f>
        <v>329304</v>
      </c>
      <c r="G26" s="103">
        <f t="shared" si="0"/>
        <v>1684143</v>
      </c>
      <c r="H26" s="86">
        <f>SUM(H24:H25)</f>
        <v>53020</v>
      </c>
      <c r="I26" s="86">
        <f>SUM(I24:I25)</f>
        <v>11316</v>
      </c>
      <c r="J26" s="88">
        <f t="shared" si="2"/>
        <v>64336</v>
      </c>
      <c r="K26" s="89">
        <f t="shared" si="3"/>
        <v>1748479</v>
      </c>
      <c r="L26" s="90">
        <f>SUM(L24:L25)</f>
        <v>356775</v>
      </c>
      <c r="M26" s="90">
        <f>SUM(M24:M25)</f>
        <v>64101</v>
      </c>
      <c r="N26" s="88">
        <f t="shared" si="4"/>
        <v>420876</v>
      </c>
      <c r="O26" s="91">
        <f t="shared" si="1"/>
        <v>2169355</v>
      </c>
      <c r="P26" s="4"/>
    </row>
    <row r="27" spans="1:16" ht="20.25" customHeight="1">
      <c r="A27" s="266" t="s">
        <v>11</v>
      </c>
      <c r="B27" s="23" t="s">
        <v>34</v>
      </c>
      <c r="C27" s="67">
        <v>1361922</v>
      </c>
      <c r="D27" s="14"/>
      <c r="E27" s="14"/>
      <c r="F27" s="14">
        <v>290880</v>
      </c>
      <c r="G27" s="104">
        <f t="shared" si="0"/>
        <v>1652802</v>
      </c>
      <c r="H27" s="14">
        <v>44975</v>
      </c>
      <c r="I27" s="14">
        <v>11052</v>
      </c>
      <c r="J27" s="76">
        <f t="shared" si="2"/>
        <v>56027</v>
      </c>
      <c r="K27" s="80">
        <f t="shared" si="3"/>
        <v>1708829</v>
      </c>
      <c r="L27" s="68">
        <v>371446</v>
      </c>
      <c r="M27" s="14">
        <v>67185</v>
      </c>
      <c r="N27" s="76">
        <f t="shared" si="4"/>
        <v>438631</v>
      </c>
      <c r="O27" s="80">
        <f t="shared" si="1"/>
        <v>2147460</v>
      </c>
      <c r="P27" s="4"/>
    </row>
    <row r="28" spans="1:16" ht="20.25" customHeight="1">
      <c r="A28" s="264"/>
      <c r="B28" s="24" t="s">
        <v>35</v>
      </c>
      <c r="C28" s="69"/>
      <c r="D28" s="5"/>
      <c r="E28" s="5"/>
      <c r="F28" s="5">
        <v>38807</v>
      </c>
      <c r="G28" s="106">
        <f t="shared" si="0"/>
        <v>38807</v>
      </c>
      <c r="H28" s="5">
        <v>8580</v>
      </c>
      <c r="I28" s="5">
        <v>521</v>
      </c>
      <c r="J28" s="77">
        <f t="shared" si="2"/>
        <v>9101</v>
      </c>
      <c r="K28" s="81">
        <f t="shared" si="3"/>
        <v>47908</v>
      </c>
      <c r="L28" s="70">
        <v>11286</v>
      </c>
      <c r="M28" s="5"/>
      <c r="N28" s="77">
        <f t="shared" si="4"/>
        <v>11286</v>
      </c>
      <c r="O28" s="84">
        <f t="shared" si="1"/>
        <v>59194</v>
      </c>
      <c r="P28" s="4"/>
    </row>
    <row r="29" spans="1:16" ht="20.25" customHeight="1" thickBot="1">
      <c r="A29" s="265"/>
      <c r="B29" s="71" t="s">
        <v>1</v>
      </c>
      <c r="C29" s="94">
        <f>SUM(C27:C28)</f>
        <v>1361922</v>
      </c>
      <c r="D29" s="86">
        <f>SUM(D27:D28)</f>
        <v>0</v>
      </c>
      <c r="E29" s="86">
        <f>SUM(E27:E28)</f>
        <v>0</v>
      </c>
      <c r="F29" s="86">
        <f>SUM(F27:F28)</f>
        <v>329687</v>
      </c>
      <c r="G29" s="107">
        <f t="shared" si="0"/>
        <v>1691609</v>
      </c>
      <c r="H29" s="86">
        <f>SUM(H27:H28)</f>
        <v>53555</v>
      </c>
      <c r="I29" s="86">
        <f>SUM(I27:I28)</f>
        <v>11573</v>
      </c>
      <c r="J29" s="88">
        <f t="shared" si="2"/>
        <v>65128</v>
      </c>
      <c r="K29" s="89">
        <f t="shared" si="3"/>
        <v>1756737</v>
      </c>
      <c r="L29" s="90">
        <f>SUM(L27:L28)</f>
        <v>382732</v>
      </c>
      <c r="M29" s="90">
        <f>SUM(M27:M28)</f>
        <v>67185</v>
      </c>
      <c r="N29" s="88">
        <f t="shared" si="4"/>
        <v>449917</v>
      </c>
      <c r="O29" s="93">
        <f t="shared" si="1"/>
        <v>2206654</v>
      </c>
      <c r="P29" s="4"/>
    </row>
    <row r="30" spans="1:16" ht="20.25" customHeight="1">
      <c r="A30" s="266" t="s">
        <v>12</v>
      </c>
      <c r="B30" s="23" t="s">
        <v>34</v>
      </c>
      <c r="C30" s="67">
        <v>1382464</v>
      </c>
      <c r="D30" s="14"/>
      <c r="E30" s="14"/>
      <c r="F30" s="14">
        <v>291368</v>
      </c>
      <c r="G30" s="108">
        <f t="shared" si="0"/>
        <v>1673832</v>
      </c>
      <c r="H30" s="14">
        <v>51673</v>
      </c>
      <c r="I30" s="14">
        <v>12546</v>
      </c>
      <c r="J30" s="76">
        <f t="shared" si="2"/>
        <v>64219</v>
      </c>
      <c r="K30" s="80">
        <f t="shared" si="3"/>
        <v>1738051</v>
      </c>
      <c r="L30" s="68">
        <v>473673</v>
      </c>
      <c r="M30" s="14">
        <v>52722</v>
      </c>
      <c r="N30" s="76">
        <f t="shared" si="4"/>
        <v>526395</v>
      </c>
      <c r="O30" s="83">
        <f t="shared" si="1"/>
        <v>2264446</v>
      </c>
      <c r="P30" s="4"/>
    </row>
    <row r="31" spans="1:16" ht="20.25" customHeight="1">
      <c r="A31" s="264"/>
      <c r="B31" s="24" t="s">
        <v>35</v>
      </c>
      <c r="C31" s="69"/>
      <c r="D31" s="5"/>
      <c r="E31" s="5"/>
      <c r="F31" s="5">
        <v>39339</v>
      </c>
      <c r="G31" s="109">
        <f t="shared" si="0"/>
        <v>39339</v>
      </c>
      <c r="H31" s="5">
        <v>12435</v>
      </c>
      <c r="I31" s="5">
        <v>790</v>
      </c>
      <c r="J31" s="77">
        <f t="shared" si="2"/>
        <v>13225</v>
      </c>
      <c r="K31" s="81">
        <f t="shared" si="3"/>
        <v>52564</v>
      </c>
      <c r="L31" s="70">
        <v>17569</v>
      </c>
      <c r="M31" s="5"/>
      <c r="N31" s="77">
        <f t="shared" si="4"/>
        <v>17569</v>
      </c>
      <c r="O31" s="72">
        <f t="shared" si="1"/>
        <v>70133</v>
      </c>
      <c r="P31" s="4"/>
    </row>
    <row r="32" spans="1:16" ht="20.25" customHeight="1" thickBot="1">
      <c r="A32" s="265"/>
      <c r="B32" s="71" t="s">
        <v>1</v>
      </c>
      <c r="C32" s="94">
        <f>SUM(C30:C31)</f>
        <v>1382464</v>
      </c>
      <c r="D32" s="86">
        <f>SUM(D30:D31)</f>
        <v>0</v>
      </c>
      <c r="E32" s="86">
        <f>SUM(E30:E31)</f>
        <v>0</v>
      </c>
      <c r="F32" s="86">
        <f>SUM(F30:F31)</f>
        <v>330707</v>
      </c>
      <c r="G32" s="107">
        <f t="shared" si="0"/>
        <v>1713171</v>
      </c>
      <c r="H32" s="86">
        <f>SUM(H30:H31)</f>
        <v>64108</v>
      </c>
      <c r="I32" s="86">
        <f>SUM(I30:I31)</f>
        <v>13336</v>
      </c>
      <c r="J32" s="88">
        <f t="shared" si="2"/>
        <v>77444</v>
      </c>
      <c r="K32" s="93">
        <f t="shared" si="3"/>
        <v>1790615</v>
      </c>
      <c r="L32" s="90">
        <f>SUM(L30:L31)</f>
        <v>491242</v>
      </c>
      <c r="M32" s="90">
        <f>SUM(M30:M31)</f>
        <v>52722</v>
      </c>
      <c r="N32" s="88">
        <f t="shared" si="4"/>
        <v>543964</v>
      </c>
      <c r="O32" s="93">
        <f t="shared" si="1"/>
        <v>2334579</v>
      </c>
      <c r="P32" s="4"/>
    </row>
    <row r="33" spans="1:16" ht="20.25" customHeight="1">
      <c r="A33" s="266" t="s">
        <v>13</v>
      </c>
      <c r="B33" s="23" t="s">
        <v>34</v>
      </c>
      <c r="C33" s="67">
        <v>1398210</v>
      </c>
      <c r="D33" s="14"/>
      <c r="E33" s="14"/>
      <c r="F33" s="14">
        <v>282923</v>
      </c>
      <c r="G33" s="108">
        <f t="shared" si="0"/>
        <v>1681133</v>
      </c>
      <c r="H33" s="14">
        <v>66790</v>
      </c>
      <c r="I33" s="14">
        <v>12731</v>
      </c>
      <c r="J33" s="76">
        <f t="shared" si="2"/>
        <v>79521</v>
      </c>
      <c r="K33" s="73">
        <f t="shared" si="3"/>
        <v>1760654</v>
      </c>
      <c r="L33" s="68">
        <v>509951</v>
      </c>
      <c r="M33" s="14">
        <v>44174</v>
      </c>
      <c r="N33" s="76">
        <f t="shared" si="4"/>
        <v>554125</v>
      </c>
      <c r="O33" s="73">
        <f t="shared" si="1"/>
        <v>2314779</v>
      </c>
      <c r="P33" s="4"/>
    </row>
    <row r="34" spans="1:16" ht="20.25" customHeight="1">
      <c r="A34" s="264"/>
      <c r="B34" s="24" t="s">
        <v>35</v>
      </c>
      <c r="C34" s="69"/>
      <c r="D34" s="5"/>
      <c r="E34" s="5"/>
      <c r="F34" s="5">
        <v>40062</v>
      </c>
      <c r="G34" s="105">
        <f t="shared" si="0"/>
        <v>40062</v>
      </c>
      <c r="H34" s="5">
        <v>18678</v>
      </c>
      <c r="I34" s="5">
        <v>2504</v>
      </c>
      <c r="J34" s="77">
        <f t="shared" si="2"/>
        <v>21182</v>
      </c>
      <c r="K34" s="81">
        <f t="shared" si="3"/>
        <v>61244</v>
      </c>
      <c r="L34" s="70">
        <v>21063</v>
      </c>
      <c r="M34" s="5"/>
      <c r="N34" s="77">
        <f t="shared" si="4"/>
        <v>21063</v>
      </c>
      <c r="O34" s="84">
        <f t="shared" si="1"/>
        <v>82307</v>
      </c>
      <c r="P34" s="4"/>
    </row>
    <row r="35" spans="1:16" ht="20.25" customHeight="1" thickBot="1">
      <c r="A35" s="265"/>
      <c r="B35" s="71" t="s">
        <v>1</v>
      </c>
      <c r="C35" s="94">
        <f>SUM(C33:C34)</f>
        <v>1398210</v>
      </c>
      <c r="D35" s="86">
        <f>SUM(D33:D34)</f>
        <v>0</v>
      </c>
      <c r="E35" s="86">
        <f>SUM(E33:E34)</f>
        <v>0</v>
      </c>
      <c r="F35" s="86">
        <f>SUM(F33:F34)</f>
        <v>322985</v>
      </c>
      <c r="G35" s="103">
        <f t="shared" si="0"/>
        <v>1721195</v>
      </c>
      <c r="H35" s="86">
        <f>SUM(H33:H34)</f>
        <v>85468</v>
      </c>
      <c r="I35" s="86">
        <f>SUM(I33:I34)</f>
        <v>15235</v>
      </c>
      <c r="J35" s="86">
        <f t="shared" si="2"/>
        <v>100703</v>
      </c>
      <c r="K35" s="89">
        <f t="shared" si="3"/>
        <v>1821898</v>
      </c>
      <c r="L35" s="90">
        <f>SUM(L33:L34)</f>
        <v>531014</v>
      </c>
      <c r="M35" s="90">
        <f>SUM(M33:M34)</f>
        <v>44174</v>
      </c>
      <c r="N35" s="88">
        <f t="shared" si="4"/>
        <v>575188</v>
      </c>
      <c r="O35" s="93">
        <f t="shared" si="1"/>
        <v>2397086</v>
      </c>
      <c r="P35" s="4"/>
    </row>
    <row r="36" spans="1:16" ht="20.25" customHeight="1">
      <c r="A36" s="266" t="s">
        <v>14</v>
      </c>
      <c r="B36" s="23" t="s">
        <v>34</v>
      </c>
      <c r="C36" s="67">
        <v>1404501</v>
      </c>
      <c r="D36" s="14">
        <v>34142</v>
      </c>
      <c r="E36" s="14">
        <v>3995</v>
      </c>
      <c r="F36" s="14">
        <v>280562</v>
      </c>
      <c r="G36" s="108">
        <f t="shared" si="0"/>
        <v>1723200</v>
      </c>
      <c r="H36" s="14">
        <v>99388</v>
      </c>
      <c r="I36" s="14">
        <v>12433</v>
      </c>
      <c r="J36" s="74">
        <f t="shared" si="2"/>
        <v>111821</v>
      </c>
      <c r="K36" s="80">
        <f t="shared" si="3"/>
        <v>1835021</v>
      </c>
      <c r="L36" s="68">
        <v>440689</v>
      </c>
      <c r="M36" s="14">
        <v>31335</v>
      </c>
      <c r="N36" s="76">
        <f t="shared" si="4"/>
        <v>472024</v>
      </c>
      <c r="O36" s="80">
        <f t="shared" si="1"/>
        <v>2307045</v>
      </c>
      <c r="P36" s="4"/>
    </row>
    <row r="37" spans="1:16" ht="20.25" customHeight="1">
      <c r="A37" s="264"/>
      <c r="B37" s="24" t="s">
        <v>35</v>
      </c>
      <c r="C37" s="69"/>
      <c r="D37" s="5"/>
      <c r="E37" s="5"/>
      <c r="F37" s="5">
        <v>39173</v>
      </c>
      <c r="G37" s="109">
        <f t="shared" si="0"/>
        <v>39173</v>
      </c>
      <c r="H37" s="5">
        <v>23082</v>
      </c>
      <c r="I37" s="5">
        <v>2851</v>
      </c>
      <c r="J37" s="77">
        <f t="shared" si="2"/>
        <v>25933</v>
      </c>
      <c r="K37" s="81">
        <f t="shared" si="3"/>
        <v>65106</v>
      </c>
      <c r="L37" s="70">
        <v>16979</v>
      </c>
      <c r="M37" s="5"/>
      <c r="N37" s="77">
        <f t="shared" si="4"/>
        <v>16979</v>
      </c>
      <c r="O37" s="84">
        <f t="shared" si="1"/>
        <v>82085</v>
      </c>
      <c r="P37" s="4"/>
    </row>
    <row r="38" spans="1:16" ht="20.25" customHeight="1" thickBot="1">
      <c r="A38" s="265"/>
      <c r="B38" s="71" t="s">
        <v>1</v>
      </c>
      <c r="C38" s="94">
        <f>SUM(C36:C37)</f>
        <v>1404501</v>
      </c>
      <c r="D38" s="86">
        <f>SUM(D36:D37)</f>
        <v>34142</v>
      </c>
      <c r="E38" s="86">
        <f>SUM(E36:E37)</f>
        <v>3995</v>
      </c>
      <c r="F38" s="86">
        <f>SUM(F36:F37)</f>
        <v>319735</v>
      </c>
      <c r="G38" s="107">
        <f t="shared" si="0"/>
        <v>1762373</v>
      </c>
      <c r="H38" s="86">
        <f>SUM(H36:H37)</f>
        <v>122470</v>
      </c>
      <c r="I38" s="86">
        <f>SUM(I36:I37)</f>
        <v>15284</v>
      </c>
      <c r="J38" s="88">
        <f t="shared" si="2"/>
        <v>137754</v>
      </c>
      <c r="K38" s="93">
        <f t="shared" si="3"/>
        <v>1900127</v>
      </c>
      <c r="L38" s="90">
        <f>SUM(L36:L37)</f>
        <v>457668</v>
      </c>
      <c r="M38" s="90">
        <f>SUM(M36:M37)</f>
        <v>31335</v>
      </c>
      <c r="N38" s="86">
        <f t="shared" si="4"/>
        <v>489003</v>
      </c>
      <c r="O38" s="93">
        <f t="shared" si="1"/>
        <v>2389130</v>
      </c>
      <c r="P38" s="4"/>
    </row>
    <row r="39" spans="1:16" ht="20.25" customHeight="1">
      <c r="A39" s="266" t="s">
        <v>15</v>
      </c>
      <c r="B39" s="23" t="s">
        <v>34</v>
      </c>
      <c r="C39" s="67">
        <v>1455147</v>
      </c>
      <c r="D39" s="14">
        <v>25070</v>
      </c>
      <c r="E39" s="14">
        <v>33862</v>
      </c>
      <c r="F39" s="14">
        <v>291705</v>
      </c>
      <c r="G39" s="108">
        <f t="shared" si="0"/>
        <v>1805784</v>
      </c>
      <c r="H39" s="14">
        <v>100223</v>
      </c>
      <c r="I39" s="14">
        <v>12091</v>
      </c>
      <c r="J39" s="76">
        <f t="shared" si="2"/>
        <v>112314</v>
      </c>
      <c r="K39" s="73">
        <f t="shared" si="3"/>
        <v>1918098</v>
      </c>
      <c r="L39" s="68">
        <v>415290</v>
      </c>
      <c r="M39" s="14">
        <v>51517</v>
      </c>
      <c r="N39" s="74">
        <f t="shared" si="4"/>
        <v>466807</v>
      </c>
      <c r="O39" s="83">
        <f t="shared" si="1"/>
        <v>2384905</v>
      </c>
      <c r="P39" s="4"/>
    </row>
    <row r="40" spans="1:16" ht="20.25" customHeight="1">
      <c r="A40" s="264"/>
      <c r="B40" s="24" t="s">
        <v>35</v>
      </c>
      <c r="C40" s="69">
        <v>2386</v>
      </c>
      <c r="D40" s="5"/>
      <c r="E40" s="5"/>
      <c r="F40" s="5">
        <v>34595</v>
      </c>
      <c r="G40" s="109">
        <f t="shared" si="0"/>
        <v>36981</v>
      </c>
      <c r="H40" s="5">
        <v>23268</v>
      </c>
      <c r="I40" s="5">
        <v>3259</v>
      </c>
      <c r="J40" s="77">
        <f t="shared" si="2"/>
        <v>26527</v>
      </c>
      <c r="K40" s="81">
        <f t="shared" si="3"/>
        <v>63508</v>
      </c>
      <c r="L40" s="70">
        <v>19339</v>
      </c>
      <c r="M40" s="5"/>
      <c r="N40" s="77">
        <f t="shared" si="4"/>
        <v>19339</v>
      </c>
      <c r="O40" s="72">
        <f t="shared" si="1"/>
        <v>82847</v>
      </c>
      <c r="P40" s="4"/>
    </row>
    <row r="41" spans="1:16" ht="20.25" customHeight="1" thickBot="1">
      <c r="A41" s="265"/>
      <c r="B41" s="71" t="s">
        <v>1</v>
      </c>
      <c r="C41" s="94">
        <f>SUM(C39:C40)</f>
        <v>1457533</v>
      </c>
      <c r="D41" s="86">
        <f>SUM(D39:D40)</f>
        <v>25070</v>
      </c>
      <c r="E41" s="86">
        <f>SUM(E39:E40)</f>
        <v>33862</v>
      </c>
      <c r="F41" s="86">
        <f>SUM(F39:F40)</f>
        <v>326300</v>
      </c>
      <c r="G41" s="110">
        <f t="shared" si="0"/>
        <v>1842765</v>
      </c>
      <c r="H41" s="86">
        <f>SUM(H39:H40)</f>
        <v>123491</v>
      </c>
      <c r="I41" s="86">
        <f>SUM(I39:I40)</f>
        <v>15350</v>
      </c>
      <c r="J41" s="86">
        <f t="shared" si="2"/>
        <v>138841</v>
      </c>
      <c r="K41" s="89">
        <f t="shared" si="3"/>
        <v>1981606</v>
      </c>
      <c r="L41" s="90">
        <f>SUM(L39:L40)</f>
        <v>434629</v>
      </c>
      <c r="M41" s="90">
        <f>SUM(M39:M40)</f>
        <v>51517</v>
      </c>
      <c r="N41" s="88">
        <f t="shared" si="4"/>
        <v>486146</v>
      </c>
      <c r="O41" s="89">
        <f t="shared" si="1"/>
        <v>2467752</v>
      </c>
      <c r="P41" s="4"/>
    </row>
    <row r="42" spans="1:16" ht="20.25" customHeight="1">
      <c r="A42" s="266" t="s">
        <v>108</v>
      </c>
      <c r="B42" s="23" t="s">
        <v>34</v>
      </c>
      <c r="C42" s="67">
        <v>1465263</v>
      </c>
      <c r="D42" s="14">
        <v>23858</v>
      </c>
      <c r="E42" s="14">
        <v>30125</v>
      </c>
      <c r="F42" s="14">
        <v>283314</v>
      </c>
      <c r="G42" s="108">
        <f t="shared" ref="G42:G47" si="5">SUM(C42:F42)</f>
        <v>1802560</v>
      </c>
      <c r="H42" s="14">
        <v>116206</v>
      </c>
      <c r="I42" s="14">
        <v>12483</v>
      </c>
      <c r="J42" s="76">
        <f t="shared" ref="J42:J47" si="6">SUM(H42:I42)</f>
        <v>128689</v>
      </c>
      <c r="K42" s="80">
        <f t="shared" ref="K42:K47" si="7">G42+J42</f>
        <v>1931249</v>
      </c>
      <c r="L42" s="68">
        <v>416267</v>
      </c>
      <c r="M42" s="14">
        <v>46037</v>
      </c>
      <c r="N42" s="76">
        <f t="shared" ref="N42:N47" si="8">SUM(L42:M42)</f>
        <v>462304</v>
      </c>
      <c r="O42" s="83">
        <f t="shared" ref="O42:O47" si="9">K42+N42</f>
        <v>2393553</v>
      </c>
      <c r="P42" s="4"/>
    </row>
    <row r="43" spans="1:16" ht="20.25" customHeight="1">
      <c r="A43" s="264"/>
      <c r="B43" s="24" t="s">
        <v>35</v>
      </c>
      <c r="C43" s="196">
        <v>2511</v>
      </c>
      <c r="D43" s="5"/>
      <c r="E43" s="5"/>
      <c r="F43" s="197">
        <v>34818</v>
      </c>
      <c r="G43" s="109">
        <f t="shared" si="5"/>
        <v>37329</v>
      </c>
      <c r="H43" s="5">
        <v>28218</v>
      </c>
      <c r="I43" s="5">
        <v>3736</v>
      </c>
      <c r="J43" s="77">
        <f t="shared" si="6"/>
        <v>31954</v>
      </c>
      <c r="K43" s="81">
        <f t="shared" si="7"/>
        <v>69283</v>
      </c>
      <c r="L43" s="70">
        <v>18686</v>
      </c>
      <c r="M43" s="5"/>
      <c r="N43" s="77">
        <f t="shared" si="8"/>
        <v>18686</v>
      </c>
      <c r="O43" s="72">
        <f t="shared" si="9"/>
        <v>87969</v>
      </c>
      <c r="P43" s="4"/>
    </row>
    <row r="44" spans="1:16" ht="20.25" customHeight="1" thickBot="1">
      <c r="A44" s="265"/>
      <c r="B44" s="71" t="s">
        <v>1</v>
      </c>
      <c r="C44" s="94">
        <f>SUM(C42:C43)</f>
        <v>1467774</v>
      </c>
      <c r="D44" s="86">
        <f>SUM(D42:D43)</f>
        <v>23858</v>
      </c>
      <c r="E44" s="86">
        <f>SUM(E42:E43)</f>
        <v>30125</v>
      </c>
      <c r="F44" s="86">
        <f>SUM(F42:F43)</f>
        <v>318132</v>
      </c>
      <c r="G44" s="110">
        <f t="shared" si="5"/>
        <v>1839889</v>
      </c>
      <c r="H44" s="86">
        <f>SUM(H42:H43)</f>
        <v>144424</v>
      </c>
      <c r="I44" s="86">
        <f>SUM(I42:I43)</f>
        <v>16219</v>
      </c>
      <c r="J44" s="86">
        <f t="shared" si="6"/>
        <v>160643</v>
      </c>
      <c r="K44" s="89">
        <f t="shared" si="7"/>
        <v>2000532</v>
      </c>
      <c r="L44" s="90">
        <f>SUM(L42:L43)</f>
        <v>434953</v>
      </c>
      <c r="M44" s="90">
        <f>SUM(M42:M43)</f>
        <v>46037</v>
      </c>
      <c r="N44" s="88">
        <f t="shared" si="8"/>
        <v>480990</v>
      </c>
      <c r="O44" s="89">
        <f t="shared" si="9"/>
        <v>2481522</v>
      </c>
      <c r="P44" s="4"/>
    </row>
    <row r="45" spans="1:16" ht="20.25" customHeight="1">
      <c r="A45" s="266" t="s">
        <v>109</v>
      </c>
      <c r="B45" s="23" t="s">
        <v>34</v>
      </c>
      <c r="C45" s="67">
        <v>1478954</v>
      </c>
      <c r="D45" s="14">
        <v>23537</v>
      </c>
      <c r="E45" s="14">
        <v>18950</v>
      </c>
      <c r="F45" s="14">
        <v>281488</v>
      </c>
      <c r="G45" s="108">
        <f t="shared" si="5"/>
        <v>1802929</v>
      </c>
      <c r="H45" s="14">
        <v>122020</v>
      </c>
      <c r="I45" s="14">
        <v>13103</v>
      </c>
      <c r="J45" s="76">
        <f t="shared" si="6"/>
        <v>135123</v>
      </c>
      <c r="K45" s="80">
        <f t="shared" si="7"/>
        <v>1938052</v>
      </c>
      <c r="L45" s="68">
        <v>376012</v>
      </c>
      <c r="M45" s="14">
        <v>48858</v>
      </c>
      <c r="N45" s="76">
        <f t="shared" si="8"/>
        <v>424870</v>
      </c>
      <c r="O45" s="83">
        <f t="shared" si="9"/>
        <v>2362922</v>
      </c>
      <c r="P45" s="4"/>
    </row>
    <row r="46" spans="1:16" ht="20.25" customHeight="1">
      <c r="A46" s="264"/>
      <c r="B46" s="24" t="s">
        <v>35</v>
      </c>
      <c r="C46" s="69">
        <v>3020</v>
      </c>
      <c r="D46" s="5"/>
      <c r="E46" s="5"/>
      <c r="F46" s="5">
        <v>37164</v>
      </c>
      <c r="G46" s="109">
        <f t="shared" si="5"/>
        <v>40184</v>
      </c>
      <c r="H46" s="5">
        <v>28482</v>
      </c>
      <c r="I46" s="5">
        <v>4105</v>
      </c>
      <c r="J46" s="77">
        <f t="shared" si="6"/>
        <v>32587</v>
      </c>
      <c r="K46" s="81">
        <f t="shared" si="7"/>
        <v>72771</v>
      </c>
      <c r="L46" s="70">
        <v>20100</v>
      </c>
      <c r="M46" s="5"/>
      <c r="N46" s="77">
        <f t="shared" si="8"/>
        <v>20100</v>
      </c>
      <c r="O46" s="72">
        <f t="shared" si="9"/>
        <v>92871</v>
      </c>
      <c r="P46" s="4"/>
    </row>
    <row r="47" spans="1:16" ht="20.25" customHeight="1" thickBot="1">
      <c r="A47" s="265"/>
      <c r="B47" s="71" t="s">
        <v>1</v>
      </c>
      <c r="C47" s="94">
        <f>SUM(C45:C46)</f>
        <v>1481974</v>
      </c>
      <c r="D47" s="86">
        <f>SUM(D45:D46)</f>
        <v>23537</v>
      </c>
      <c r="E47" s="86">
        <f>SUM(E45:E46)</f>
        <v>18950</v>
      </c>
      <c r="F47" s="86">
        <f>SUM(F45:F46)</f>
        <v>318652</v>
      </c>
      <c r="G47" s="110">
        <f t="shared" si="5"/>
        <v>1843113</v>
      </c>
      <c r="H47" s="86">
        <f>SUM(H45:H46)</f>
        <v>150502</v>
      </c>
      <c r="I47" s="86">
        <f>SUM(I45:I46)</f>
        <v>17208</v>
      </c>
      <c r="J47" s="86">
        <f t="shared" si="6"/>
        <v>167710</v>
      </c>
      <c r="K47" s="89">
        <f t="shared" si="7"/>
        <v>2010823</v>
      </c>
      <c r="L47" s="90">
        <f>SUM(L45:L46)</f>
        <v>396112</v>
      </c>
      <c r="M47" s="90">
        <f>SUM(M45:M46)</f>
        <v>48858</v>
      </c>
      <c r="N47" s="88">
        <f t="shared" si="8"/>
        <v>444970</v>
      </c>
      <c r="O47" s="89">
        <f t="shared" si="9"/>
        <v>2455793</v>
      </c>
      <c r="P47" s="4"/>
    </row>
    <row r="48" spans="1:16" ht="20.25" customHeight="1">
      <c r="A48" s="263" t="s">
        <v>128</v>
      </c>
      <c r="B48" s="23" t="s">
        <v>34</v>
      </c>
      <c r="C48" s="67">
        <v>1461886</v>
      </c>
      <c r="D48" s="14">
        <v>22049</v>
      </c>
      <c r="E48" s="14">
        <v>16655</v>
      </c>
      <c r="F48" s="14">
        <v>323550</v>
      </c>
      <c r="G48" s="108">
        <f t="shared" ref="G48:G53" si="10">SUM(C48:F48)</f>
        <v>1824140</v>
      </c>
      <c r="H48" s="14">
        <v>140869</v>
      </c>
      <c r="I48" s="14">
        <v>0</v>
      </c>
      <c r="J48" s="76">
        <f t="shared" ref="J48:J53" si="11">SUM(H48:I48)</f>
        <v>140869</v>
      </c>
      <c r="K48" s="80">
        <f t="shared" ref="K48:K53" si="12">G48+J48</f>
        <v>1965009</v>
      </c>
      <c r="L48" s="68">
        <v>382863</v>
      </c>
      <c r="M48" s="14">
        <v>50304</v>
      </c>
      <c r="N48" s="76">
        <f t="shared" ref="N48:N53" si="13">SUM(L48:M48)</f>
        <v>433167</v>
      </c>
      <c r="O48" s="83">
        <f t="shared" ref="O48:O53" si="14">K48+N48</f>
        <v>2398176</v>
      </c>
      <c r="P48" s="4"/>
    </row>
    <row r="49" spans="1:16" ht="20.25" customHeight="1">
      <c r="A49" s="264"/>
      <c r="B49" s="24" t="s">
        <v>35</v>
      </c>
      <c r="C49" s="69">
        <v>3034</v>
      </c>
      <c r="D49" s="5"/>
      <c r="E49" s="5"/>
      <c r="F49" s="5">
        <v>36613</v>
      </c>
      <c r="G49" s="109">
        <f t="shared" si="10"/>
        <v>39647</v>
      </c>
      <c r="H49" s="5">
        <v>47127</v>
      </c>
      <c r="I49" s="5">
        <v>3495</v>
      </c>
      <c r="J49" s="77">
        <f t="shared" si="11"/>
        <v>50622</v>
      </c>
      <c r="K49" s="81">
        <f t="shared" si="12"/>
        <v>90269</v>
      </c>
      <c r="L49" s="70">
        <v>2565</v>
      </c>
      <c r="M49" s="5"/>
      <c r="N49" s="77">
        <f t="shared" si="13"/>
        <v>2565</v>
      </c>
      <c r="O49" s="72">
        <f t="shared" si="14"/>
        <v>92834</v>
      </c>
      <c r="P49" s="4"/>
    </row>
    <row r="50" spans="1:16" ht="20.25" customHeight="1" thickBot="1">
      <c r="A50" s="265"/>
      <c r="B50" s="71" t="s">
        <v>1</v>
      </c>
      <c r="C50" s="94">
        <f>SUM(C48:C49)</f>
        <v>1464920</v>
      </c>
      <c r="D50" s="86">
        <f>SUM(D48:D49)</f>
        <v>22049</v>
      </c>
      <c r="E50" s="86">
        <f>SUM(E48:E49)</f>
        <v>16655</v>
      </c>
      <c r="F50" s="86">
        <f>SUM(F48:F49)</f>
        <v>360163</v>
      </c>
      <c r="G50" s="110">
        <f t="shared" si="10"/>
        <v>1863787</v>
      </c>
      <c r="H50" s="86">
        <f>SUM(H48:H49)</f>
        <v>187996</v>
      </c>
      <c r="I50" s="86">
        <f>SUM(I48:I49)</f>
        <v>3495</v>
      </c>
      <c r="J50" s="86">
        <f t="shared" si="11"/>
        <v>191491</v>
      </c>
      <c r="K50" s="89">
        <f t="shared" si="12"/>
        <v>2055278</v>
      </c>
      <c r="L50" s="90">
        <f>SUM(L48:L49)</f>
        <v>385428</v>
      </c>
      <c r="M50" s="90">
        <f>SUM(M48:M49)</f>
        <v>50304</v>
      </c>
      <c r="N50" s="88">
        <f t="shared" si="13"/>
        <v>435732</v>
      </c>
      <c r="O50" s="89">
        <f t="shared" si="14"/>
        <v>2491010</v>
      </c>
      <c r="P50" s="4"/>
    </row>
    <row r="51" spans="1:16" ht="20.25" hidden="1" customHeight="1">
      <c r="A51" s="263" t="s">
        <v>112</v>
      </c>
      <c r="B51" s="23" t="s">
        <v>34</v>
      </c>
      <c r="C51" s="67">
        <v>1525075</v>
      </c>
      <c r="D51" s="14"/>
      <c r="E51" s="14">
        <v>17970</v>
      </c>
      <c r="F51" s="14">
        <v>327363</v>
      </c>
      <c r="G51" s="108">
        <f t="shared" si="10"/>
        <v>1870408</v>
      </c>
      <c r="H51" s="14">
        <f>24300+135928</f>
        <v>160228</v>
      </c>
      <c r="I51" s="14">
        <v>0</v>
      </c>
      <c r="J51" s="76">
        <f t="shared" si="11"/>
        <v>160228</v>
      </c>
      <c r="K51" s="80">
        <f t="shared" si="12"/>
        <v>2030636</v>
      </c>
      <c r="L51" s="68">
        <f>109620+236925</f>
        <v>346545</v>
      </c>
      <c r="M51" s="14">
        <v>45000</v>
      </c>
      <c r="N51" s="76">
        <f t="shared" si="13"/>
        <v>391545</v>
      </c>
      <c r="O51" s="83">
        <f t="shared" si="14"/>
        <v>2422181</v>
      </c>
      <c r="P51" s="4"/>
    </row>
    <row r="52" spans="1:16" ht="20.25" hidden="1" customHeight="1">
      <c r="A52" s="264"/>
      <c r="B52" s="24" t="s">
        <v>35</v>
      </c>
      <c r="C52" s="69">
        <v>50006</v>
      </c>
      <c r="D52" s="5"/>
      <c r="E52" s="5"/>
      <c r="F52" s="5"/>
      <c r="G52" s="109">
        <f t="shared" si="10"/>
        <v>50006</v>
      </c>
      <c r="H52" s="5"/>
      <c r="I52" s="5"/>
      <c r="J52" s="77">
        <f t="shared" si="11"/>
        <v>0</v>
      </c>
      <c r="K52" s="81">
        <f t="shared" si="12"/>
        <v>50006</v>
      </c>
      <c r="L52" s="70"/>
      <c r="M52" s="5"/>
      <c r="N52" s="77">
        <f t="shared" si="13"/>
        <v>0</v>
      </c>
      <c r="O52" s="72">
        <f t="shared" si="14"/>
        <v>50006</v>
      </c>
      <c r="P52" s="4"/>
    </row>
    <row r="53" spans="1:16" ht="20.25" hidden="1" customHeight="1" thickBot="1">
      <c r="A53" s="265"/>
      <c r="B53" s="71" t="s">
        <v>1</v>
      </c>
      <c r="C53" s="94">
        <f>SUM(C51:C52)</f>
        <v>1575081</v>
      </c>
      <c r="D53" s="86">
        <f>SUM(D51:D52)</f>
        <v>0</v>
      </c>
      <c r="E53" s="86">
        <f>SUM(E51:E52)</f>
        <v>17970</v>
      </c>
      <c r="F53" s="86">
        <f>SUM(F51:F52)</f>
        <v>327363</v>
      </c>
      <c r="G53" s="107">
        <f t="shared" si="10"/>
        <v>1920414</v>
      </c>
      <c r="H53" s="86">
        <f>SUM(H51:H52)</f>
        <v>160228</v>
      </c>
      <c r="I53" s="86">
        <f>SUM(I51:I52)</f>
        <v>0</v>
      </c>
      <c r="J53" s="86">
        <f t="shared" si="11"/>
        <v>160228</v>
      </c>
      <c r="K53" s="93">
        <f t="shared" si="12"/>
        <v>2080642</v>
      </c>
      <c r="L53" s="90">
        <f>SUM(L51:L52)</f>
        <v>346545</v>
      </c>
      <c r="M53" s="90">
        <f>SUM(M51:M52)</f>
        <v>45000</v>
      </c>
      <c r="N53" s="86">
        <f t="shared" si="13"/>
        <v>391545</v>
      </c>
      <c r="O53" s="93">
        <f t="shared" si="14"/>
        <v>2472187</v>
      </c>
      <c r="P53" s="4"/>
    </row>
    <row r="54" spans="1:16" ht="20.25" customHeight="1">
      <c r="A54" s="263" t="s">
        <v>131</v>
      </c>
      <c r="B54" s="23" t="s">
        <v>34</v>
      </c>
      <c r="C54" s="67">
        <v>1434951</v>
      </c>
      <c r="D54" s="14">
        <v>23352</v>
      </c>
      <c r="E54" s="14">
        <v>16065</v>
      </c>
      <c r="F54" s="14">
        <v>280535</v>
      </c>
      <c r="G54" s="108">
        <f t="shared" ref="G54:G59" si="15">SUM(C54:F54)</f>
        <v>1754903</v>
      </c>
      <c r="H54" s="14">
        <v>142737</v>
      </c>
      <c r="I54" s="14"/>
      <c r="J54" s="76">
        <f t="shared" ref="J54:J59" si="16">SUM(H54:I54)</f>
        <v>142737</v>
      </c>
      <c r="K54" s="80">
        <f t="shared" ref="K54:K59" si="17">G54+J54</f>
        <v>1897640</v>
      </c>
      <c r="L54" s="68">
        <v>349750</v>
      </c>
      <c r="M54" s="14">
        <v>45570</v>
      </c>
      <c r="N54" s="76">
        <f t="shared" ref="N54:N59" si="18">SUM(L54:M54)</f>
        <v>395320</v>
      </c>
      <c r="O54" s="83">
        <f t="shared" ref="O54:O59" si="19">K54+N54</f>
        <v>2292960</v>
      </c>
      <c r="P54" s="4"/>
    </row>
    <row r="55" spans="1:16" ht="20.25" customHeight="1">
      <c r="A55" s="264"/>
      <c r="B55" s="24" t="s">
        <v>35</v>
      </c>
      <c r="C55" s="69">
        <v>2938</v>
      </c>
      <c r="D55" s="5"/>
      <c r="E55" s="5"/>
      <c r="F55" s="5">
        <v>36569</v>
      </c>
      <c r="G55" s="109">
        <f t="shared" si="15"/>
        <v>39507</v>
      </c>
      <c r="H55" s="5">
        <v>48204</v>
      </c>
      <c r="I55" s="5">
        <v>3768</v>
      </c>
      <c r="J55" s="77">
        <f t="shared" si="16"/>
        <v>51972</v>
      </c>
      <c r="K55" s="81">
        <f t="shared" si="17"/>
        <v>91479</v>
      </c>
      <c r="L55" s="70">
        <v>2414</v>
      </c>
      <c r="M55" s="5"/>
      <c r="N55" s="77">
        <f t="shared" si="18"/>
        <v>2414</v>
      </c>
      <c r="O55" s="72">
        <f t="shared" si="19"/>
        <v>93893</v>
      </c>
      <c r="P55" s="4"/>
    </row>
    <row r="56" spans="1:16" ht="20.25" customHeight="1" thickBot="1">
      <c r="A56" s="265"/>
      <c r="B56" s="71" t="s">
        <v>1</v>
      </c>
      <c r="C56" s="94">
        <f>SUM(C54:C55)</f>
        <v>1437889</v>
      </c>
      <c r="D56" s="86">
        <f>SUM(D54:D55)</f>
        <v>23352</v>
      </c>
      <c r="E56" s="86">
        <f>SUM(E54:E55)</f>
        <v>16065</v>
      </c>
      <c r="F56" s="86">
        <f>SUM(F54:F55)</f>
        <v>317104</v>
      </c>
      <c r="G56" s="107">
        <f t="shared" si="15"/>
        <v>1794410</v>
      </c>
      <c r="H56" s="86">
        <f>SUM(H54:H55)</f>
        <v>190941</v>
      </c>
      <c r="I56" s="86">
        <f>SUM(I54:I55)</f>
        <v>3768</v>
      </c>
      <c r="J56" s="86">
        <f t="shared" si="16"/>
        <v>194709</v>
      </c>
      <c r="K56" s="93">
        <f t="shared" si="17"/>
        <v>1989119</v>
      </c>
      <c r="L56" s="90">
        <f>SUM(L54:L55)</f>
        <v>352164</v>
      </c>
      <c r="M56" s="90">
        <f>SUM(M54:M55)</f>
        <v>45570</v>
      </c>
      <c r="N56" s="86">
        <f t="shared" si="18"/>
        <v>397734</v>
      </c>
      <c r="O56" s="93">
        <f t="shared" si="19"/>
        <v>2386853</v>
      </c>
      <c r="P56" s="4"/>
    </row>
    <row r="57" spans="1:16" ht="20.25" customHeight="1">
      <c r="A57" s="263" t="s">
        <v>130</v>
      </c>
      <c r="B57" s="23" t="s">
        <v>34</v>
      </c>
      <c r="C57" s="67">
        <v>1421650</v>
      </c>
      <c r="D57" s="14">
        <v>25345</v>
      </c>
      <c r="E57" s="14">
        <v>16433</v>
      </c>
      <c r="F57" s="14">
        <v>257392</v>
      </c>
      <c r="G57" s="108">
        <f t="shared" si="15"/>
        <v>1720820</v>
      </c>
      <c r="H57" s="14">
        <v>167332</v>
      </c>
      <c r="I57" s="14"/>
      <c r="J57" s="76">
        <f t="shared" si="16"/>
        <v>167332</v>
      </c>
      <c r="K57" s="80">
        <f t="shared" si="17"/>
        <v>1888152</v>
      </c>
      <c r="L57" s="68">
        <v>462321</v>
      </c>
      <c r="M57" s="14">
        <v>33603</v>
      </c>
      <c r="N57" s="76">
        <f t="shared" si="18"/>
        <v>495924</v>
      </c>
      <c r="O57" s="83">
        <f t="shared" si="19"/>
        <v>2384076</v>
      </c>
      <c r="P57" s="4"/>
    </row>
    <row r="58" spans="1:16" ht="20.25" customHeight="1">
      <c r="A58" s="264"/>
      <c r="B58" s="24" t="s">
        <v>35</v>
      </c>
      <c r="C58" s="69">
        <v>2946</v>
      </c>
      <c r="D58" s="5"/>
      <c r="E58" s="5"/>
      <c r="F58" s="5">
        <v>36790</v>
      </c>
      <c r="G58" s="109">
        <f t="shared" si="15"/>
        <v>39736</v>
      </c>
      <c r="H58" s="5">
        <v>54146</v>
      </c>
      <c r="I58" s="5">
        <v>10819</v>
      </c>
      <c r="J58" s="77">
        <f t="shared" si="16"/>
        <v>64965</v>
      </c>
      <c r="K58" s="81">
        <f t="shared" si="17"/>
        <v>104701</v>
      </c>
      <c r="L58" s="70">
        <v>638</v>
      </c>
      <c r="M58" s="5"/>
      <c r="N58" s="77">
        <f t="shared" si="18"/>
        <v>638</v>
      </c>
      <c r="O58" s="72">
        <f t="shared" si="19"/>
        <v>105339</v>
      </c>
      <c r="P58" s="4"/>
    </row>
    <row r="59" spans="1:16" ht="20.25" customHeight="1" thickBot="1">
      <c r="A59" s="265"/>
      <c r="B59" s="71" t="s">
        <v>1</v>
      </c>
      <c r="C59" s="94">
        <f>SUM(C57:C58)</f>
        <v>1424596</v>
      </c>
      <c r="D59" s="86">
        <f>SUM(D57:D58)</f>
        <v>25345</v>
      </c>
      <c r="E59" s="86">
        <f>SUM(E57:E58)</f>
        <v>16433</v>
      </c>
      <c r="F59" s="86">
        <f>SUM(F57:F58)</f>
        <v>294182</v>
      </c>
      <c r="G59" s="107">
        <f t="shared" si="15"/>
        <v>1760556</v>
      </c>
      <c r="H59" s="86">
        <f>SUM(H57:H58)</f>
        <v>221478</v>
      </c>
      <c r="I59" s="86">
        <f>SUM(I57:I58)</f>
        <v>10819</v>
      </c>
      <c r="J59" s="86">
        <f t="shared" si="16"/>
        <v>232297</v>
      </c>
      <c r="K59" s="93">
        <f t="shared" si="17"/>
        <v>1992853</v>
      </c>
      <c r="L59" s="90">
        <f>SUM(L57:L58)</f>
        <v>462959</v>
      </c>
      <c r="M59" s="90">
        <f>SUM(M57:M58)</f>
        <v>33603</v>
      </c>
      <c r="N59" s="86">
        <f t="shared" si="18"/>
        <v>496562</v>
      </c>
      <c r="O59" s="93">
        <f t="shared" si="19"/>
        <v>2489415</v>
      </c>
      <c r="P59" s="4"/>
    </row>
    <row r="60" spans="1:16" ht="20.25" customHeight="1">
      <c r="A60" s="263" t="s">
        <v>134</v>
      </c>
      <c r="B60" s="23" t="s">
        <v>34</v>
      </c>
      <c r="C60" s="67">
        <v>1522371</v>
      </c>
      <c r="D60" s="14">
        <v>24371</v>
      </c>
      <c r="E60" s="14">
        <v>28380</v>
      </c>
      <c r="F60" s="14">
        <v>263465</v>
      </c>
      <c r="G60" s="108">
        <f t="shared" ref="G60:G65" si="20">SUM(C60:F60)</f>
        <v>1838587</v>
      </c>
      <c r="H60" s="14">
        <v>187628</v>
      </c>
      <c r="I60" s="14">
        <v>39477</v>
      </c>
      <c r="J60" s="76">
        <f t="shared" ref="J60:J65" si="21">SUM(H60:I60)</f>
        <v>227105</v>
      </c>
      <c r="K60" s="80">
        <f t="shared" ref="K60:K65" si="22">G60+J60</f>
        <v>2065692</v>
      </c>
      <c r="L60" s="68">
        <v>544419</v>
      </c>
      <c r="M60" s="14">
        <v>39263</v>
      </c>
      <c r="N60" s="76">
        <f t="shared" ref="N60:N65" si="23">SUM(L60:M60)</f>
        <v>583682</v>
      </c>
      <c r="O60" s="83">
        <f t="shared" ref="O60:O65" si="24">K60+N60</f>
        <v>2649374</v>
      </c>
      <c r="P60" s="4"/>
    </row>
    <row r="61" spans="1:16" ht="20.25" customHeight="1">
      <c r="A61" s="264"/>
      <c r="B61" s="24" t="s">
        <v>35</v>
      </c>
      <c r="C61" s="69">
        <v>3006</v>
      </c>
      <c r="D61" s="5"/>
      <c r="E61" s="5"/>
      <c r="F61" s="5">
        <v>36796</v>
      </c>
      <c r="G61" s="109">
        <f t="shared" si="20"/>
        <v>39802</v>
      </c>
      <c r="H61" s="5">
        <v>61187</v>
      </c>
      <c r="I61" s="5">
        <v>11732</v>
      </c>
      <c r="J61" s="77">
        <f t="shared" si="21"/>
        <v>72919</v>
      </c>
      <c r="K61" s="81">
        <f t="shared" si="22"/>
        <v>112721</v>
      </c>
      <c r="L61" s="70">
        <v>283</v>
      </c>
      <c r="M61" s="5"/>
      <c r="N61" s="77">
        <f t="shared" si="23"/>
        <v>283</v>
      </c>
      <c r="O61" s="72">
        <f t="shared" si="24"/>
        <v>113004</v>
      </c>
      <c r="P61" s="4"/>
    </row>
    <row r="62" spans="1:16" ht="20.25" customHeight="1" thickBot="1">
      <c r="A62" s="265"/>
      <c r="B62" s="71" t="s">
        <v>1</v>
      </c>
      <c r="C62" s="94">
        <f>SUM(C60:C61)</f>
        <v>1525377</v>
      </c>
      <c r="D62" s="86">
        <f>SUM(D60:D61)</f>
        <v>24371</v>
      </c>
      <c r="E62" s="86">
        <f>SUM(E60:E61)</f>
        <v>28380</v>
      </c>
      <c r="F62" s="86">
        <f>SUM(F60:F61)</f>
        <v>300261</v>
      </c>
      <c r="G62" s="107">
        <f t="shared" si="20"/>
        <v>1878389</v>
      </c>
      <c r="H62" s="86">
        <f>SUM(H60:H61)</f>
        <v>248815</v>
      </c>
      <c r="I62" s="86">
        <f>SUM(I60:I61)</f>
        <v>51209</v>
      </c>
      <c r="J62" s="86">
        <f t="shared" si="21"/>
        <v>300024</v>
      </c>
      <c r="K62" s="93">
        <f t="shared" si="22"/>
        <v>2178413</v>
      </c>
      <c r="L62" s="90">
        <f>SUM(L60:L61)</f>
        <v>544702</v>
      </c>
      <c r="M62" s="90">
        <f>SUM(M60:M61)</f>
        <v>39263</v>
      </c>
      <c r="N62" s="86">
        <f t="shared" si="23"/>
        <v>583965</v>
      </c>
      <c r="O62" s="93">
        <f t="shared" si="24"/>
        <v>2762378</v>
      </c>
      <c r="P62" s="4"/>
    </row>
    <row r="63" spans="1:16" ht="20.25" customHeight="1">
      <c r="A63" s="263" t="s">
        <v>176</v>
      </c>
      <c r="B63" s="23" t="s">
        <v>34</v>
      </c>
      <c r="C63" s="67">
        <v>1545329</v>
      </c>
      <c r="D63" s="14">
        <v>17350</v>
      </c>
      <c r="E63" s="14">
        <v>49988</v>
      </c>
      <c r="F63" s="14">
        <v>259089</v>
      </c>
      <c r="G63" s="108">
        <f t="shared" si="20"/>
        <v>1871756</v>
      </c>
      <c r="H63" s="14">
        <v>221866</v>
      </c>
      <c r="I63" s="14">
        <v>45508</v>
      </c>
      <c r="J63" s="76">
        <f t="shared" si="21"/>
        <v>267374</v>
      </c>
      <c r="K63" s="80">
        <f t="shared" si="22"/>
        <v>2139130</v>
      </c>
      <c r="L63" s="68">
        <v>564706</v>
      </c>
      <c r="M63" s="14">
        <v>96009</v>
      </c>
      <c r="N63" s="76">
        <f t="shared" si="23"/>
        <v>660715</v>
      </c>
      <c r="O63" s="83">
        <f t="shared" si="24"/>
        <v>2799845</v>
      </c>
      <c r="P63" s="4"/>
    </row>
    <row r="64" spans="1:16" ht="20.25" customHeight="1">
      <c r="A64" s="264"/>
      <c r="B64" s="24" t="s">
        <v>35</v>
      </c>
      <c r="C64" s="196">
        <v>3307</v>
      </c>
      <c r="D64" s="5"/>
      <c r="E64" s="5"/>
      <c r="F64" s="197">
        <v>39052</v>
      </c>
      <c r="G64" s="109">
        <f t="shared" si="20"/>
        <v>42359</v>
      </c>
      <c r="H64" s="5">
        <v>71963</v>
      </c>
      <c r="I64" s="5">
        <v>9333</v>
      </c>
      <c r="J64" s="77">
        <f t="shared" si="21"/>
        <v>81296</v>
      </c>
      <c r="K64" s="81">
        <f t="shared" si="22"/>
        <v>123655</v>
      </c>
      <c r="L64" s="70">
        <v>435</v>
      </c>
      <c r="M64" s="5"/>
      <c r="N64" s="77">
        <f t="shared" si="23"/>
        <v>435</v>
      </c>
      <c r="O64" s="72">
        <f t="shared" si="24"/>
        <v>124090</v>
      </c>
      <c r="P64" s="4"/>
    </row>
    <row r="65" spans="1:16" ht="20.25" customHeight="1" thickBot="1">
      <c r="A65" s="265"/>
      <c r="B65" s="71" t="s">
        <v>1</v>
      </c>
      <c r="C65" s="94">
        <f>SUM(C63:C64)</f>
        <v>1548636</v>
      </c>
      <c r="D65" s="86">
        <f>SUM(D63:D64)</f>
        <v>17350</v>
      </c>
      <c r="E65" s="86">
        <f>SUM(E63:E64)</f>
        <v>49988</v>
      </c>
      <c r="F65" s="86">
        <f>SUM(F63:F64)</f>
        <v>298141</v>
      </c>
      <c r="G65" s="107">
        <f t="shared" si="20"/>
        <v>1914115</v>
      </c>
      <c r="H65" s="86">
        <f>SUM(H63:H64)</f>
        <v>293829</v>
      </c>
      <c r="I65" s="86">
        <f>SUM(I63:I64)</f>
        <v>54841</v>
      </c>
      <c r="J65" s="86">
        <f t="shared" si="21"/>
        <v>348670</v>
      </c>
      <c r="K65" s="93">
        <f t="shared" si="22"/>
        <v>2262785</v>
      </c>
      <c r="L65" s="90">
        <f>SUM(L63:L64)</f>
        <v>565141</v>
      </c>
      <c r="M65" s="90">
        <f>SUM(M63:M64)</f>
        <v>96009</v>
      </c>
      <c r="N65" s="86">
        <f t="shared" si="23"/>
        <v>661150</v>
      </c>
      <c r="O65" s="93">
        <f t="shared" si="24"/>
        <v>2923935</v>
      </c>
      <c r="P65" s="4"/>
    </row>
    <row r="66" spans="1:16" ht="20.25" customHeight="1">
      <c r="A66" s="263" t="s">
        <v>181</v>
      </c>
      <c r="B66" s="23" t="s">
        <v>34</v>
      </c>
      <c r="C66" s="67">
        <v>1547514</v>
      </c>
      <c r="D66" s="14">
        <v>20150</v>
      </c>
      <c r="E66" s="14">
        <v>48024</v>
      </c>
      <c r="F66" s="14">
        <v>267308</v>
      </c>
      <c r="G66" s="108">
        <f t="shared" ref="G66:G68" si="25">SUM(C66:F66)</f>
        <v>1882996</v>
      </c>
      <c r="H66" s="14">
        <v>250997</v>
      </c>
      <c r="I66" s="14">
        <v>46670</v>
      </c>
      <c r="J66" s="76">
        <f t="shared" ref="J66:J68" si="26">SUM(H66:I66)</f>
        <v>297667</v>
      </c>
      <c r="K66" s="80">
        <f t="shared" ref="K66:K68" si="27">G66+J66</f>
        <v>2180663</v>
      </c>
      <c r="L66" s="68">
        <v>571536</v>
      </c>
      <c r="M66" s="14">
        <v>79852</v>
      </c>
      <c r="N66" s="76">
        <f t="shared" ref="N66:N68" si="28">SUM(L66:M66)</f>
        <v>651388</v>
      </c>
      <c r="O66" s="83">
        <f t="shared" ref="O66:O68" si="29">K66+N66</f>
        <v>2832051</v>
      </c>
      <c r="P66" s="4"/>
    </row>
    <row r="67" spans="1:16" ht="20.25" customHeight="1">
      <c r="A67" s="264"/>
      <c r="B67" s="24" t="s">
        <v>35</v>
      </c>
      <c r="C67" s="196">
        <v>3417</v>
      </c>
      <c r="D67" s="5"/>
      <c r="E67" s="5"/>
      <c r="F67" s="196">
        <v>41513</v>
      </c>
      <c r="G67" s="109">
        <f t="shared" si="25"/>
        <v>44930</v>
      </c>
      <c r="H67" s="5">
        <v>69918</v>
      </c>
      <c r="I67" s="5">
        <v>8168</v>
      </c>
      <c r="J67" s="77">
        <f t="shared" si="26"/>
        <v>78086</v>
      </c>
      <c r="K67" s="81">
        <f t="shared" si="27"/>
        <v>123016</v>
      </c>
      <c r="L67" s="70">
        <v>3452</v>
      </c>
      <c r="M67" s="5"/>
      <c r="N67" s="77">
        <f t="shared" si="28"/>
        <v>3452</v>
      </c>
      <c r="O67" s="72">
        <f t="shared" si="29"/>
        <v>126468</v>
      </c>
      <c r="P67" s="4"/>
    </row>
    <row r="68" spans="1:16" ht="20.25" customHeight="1" thickBot="1">
      <c r="A68" s="265"/>
      <c r="B68" s="71" t="s">
        <v>1</v>
      </c>
      <c r="C68" s="94">
        <f>SUM(C66:C67)</f>
        <v>1550931</v>
      </c>
      <c r="D68" s="86">
        <f>SUM(D66:D67)</f>
        <v>20150</v>
      </c>
      <c r="E68" s="86">
        <f>SUM(E66:E67)</f>
        <v>48024</v>
      </c>
      <c r="F68" s="86">
        <f>SUM(F66:F67)</f>
        <v>308821</v>
      </c>
      <c r="G68" s="107">
        <f t="shared" si="25"/>
        <v>1927926</v>
      </c>
      <c r="H68" s="86">
        <f>SUM(H66:H67)</f>
        <v>320915</v>
      </c>
      <c r="I68" s="86">
        <f>SUM(I66:I67)</f>
        <v>54838</v>
      </c>
      <c r="J68" s="86">
        <f t="shared" si="26"/>
        <v>375753</v>
      </c>
      <c r="K68" s="93">
        <f t="shared" si="27"/>
        <v>2303679</v>
      </c>
      <c r="L68" s="90">
        <f>SUM(L66:L67)</f>
        <v>574988</v>
      </c>
      <c r="M68" s="90">
        <f>SUM(M66:M67)</f>
        <v>79852</v>
      </c>
      <c r="N68" s="86">
        <f t="shared" si="28"/>
        <v>654840</v>
      </c>
      <c r="O68" s="93">
        <f t="shared" si="29"/>
        <v>2958519</v>
      </c>
      <c r="P68" s="4"/>
    </row>
    <row r="69" spans="1:16" ht="20.25" customHeight="1">
      <c r="A69" s="263" t="s">
        <v>183</v>
      </c>
      <c r="B69" s="23" t="s">
        <v>34</v>
      </c>
      <c r="C69" s="192">
        <v>1572826</v>
      </c>
      <c r="D69" s="102">
        <v>20699</v>
      </c>
      <c r="E69" s="102">
        <v>53440</v>
      </c>
      <c r="F69" s="102">
        <v>257598</v>
      </c>
      <c r="G69" s="108">
        <f t="shared" ref="G69:G71" si="30">SUM(C69:F69)</f>
        <v>1904563</v>
      </c>
      <c r="H69" s="102">
        <v>257209</v>
      </c>
      <c r="I69" s="102">
        <v>53375</v>
      </c>
      <c r="J69" s="76">
        <f t="shared" ref="J69:J71" si="31">SUM(H69:I69)</f>
        <v>310584</v>
      </c>
      <c r="K69" s="80">
        <f t="shared" ref="K69:K71" si="32">G69+J69</f>
        <v>2215147</v>
      </c>
      <c r="L69" s="68">
        <v>593176</v>
      </c>
      <c r="M69" s="14">
        <v>84149</v>
      </c>
      <c r="N69" s="76">
        <f t="shared" ref="N69:N71" si="33">SUM(L69:M69)</f>
        <v>677325</v>
      </c>
      <c r="O69" s="83">
        <f t="shared" ref="O69:O71" si="34">K69+N69</f>
        <v>2892472</v>
      </c>
      <c r="P69" s="4"/>
    </row>
    <row r="70" spans="1:16" ht="20.25" customHeight="1">
      <c r="A70" s="264"/>
      <c r="B70" s="24" t="s">
        <v>35</v>
      </c>
      <c r="C70" s="196">
        <v>3459</v>
      </c>
      <c r="D70" s="5"/>
      <c r="E70" s="5"/>
      <c r="F70" s="196">
        <v>39505</v>
      </c>
      <c r="G70" s="109">
        <f t="shared" ref="G70" si="35">SUM(C70:F70)</f>
        <v>42964</v>
      </c>
      <c r="H70" s="5">
        <v>69943</v>
      </c>
      <c r="I70" s="5">
        <v>6615</v>
      </c>
      <c r="J70" s="77">
        <f t="shared" ref="J70" si="36">SUM(H70:I70)</f>
        <v>76558</v>
      </c>
      <c r="K70" s="81">
        <f t="shared" si="32"/>
        <v>119522</v>
      </c>
      <c r="L70" s="70">
        <v>1408</v>
      </c>
      <c r="M70" s="5"/>
      <c r="N70" s="77">
        <f t="shared" ref="N70" si="37">SUM(L70:M70)</f>
        <v>1408</v>
      </c>
      <c r="O70" s="72">
        <f t="shared" si="34"/>
        <v>120930</v>
      </c>
      <c r="P70" s="4"/>
    </row>
    <row r="71" spans="1:16" ht="20.25" customHeight="1" thickBot="1">
      <c r="A71" s="265"/>
      <c r="B71" s="71" t="s">
        <v>1</v>
      </c>
      <c r="C71" s="94">
        <f>SUM(C69:C70)</f>
        <v>1576285</v>
      </c>
      <c r="D71" s="86">
        <f>SUM(D69:D70)</f>
        <v>20699</v>
      </c>
      <c r="E71" s="86">
        <f>SUM(E69:E70)</f>
        <v>53440</v>
      </c>
      <c r="F71" s="86">
        <f>SUM(F69:F70)</f>
        <v>297103</v>
      </c>
      <c r="G71" s="107">
        <f t="shared" si="30"/>
        <v>1947527</v>
      </c>
      <c r="H71" s="86">
        <f>SUM(H69:H70)</f>
        <v>327152</v>
      </c>
      <c r="I71" s="86">
        <f>SUM(I69:I70)</f>
        <v>59990</v>
      </c>
      <c r="J71" s="86">
        <f t="shared" si="31"/>
        <v>387142</v>
      </c>
      <c r="K71" s="93">
        <f t="shared" si="32"/>
        <v>2334669</v>
      </c>
      <c r="L71" s="90">
        <f>SUM(L69:L70)</f>
        <v>594584</v>
      </c>
      <c r="M71" s="90">
        <f>SUM(M69:M70)</f>
        <v>84149</v>
      </c>
      <c r="N71" s="86">
        <f t="shared" si="33"/>
        <v>678733</v>
      </c>
      <c r="O71" s="93">
        <f t="shared" si="34"/>
        <v>3013402</v>
      </c>
      <c r="P71" s="4"/>
    </row>
    <row r="72" spans="1:16" ht="20.25" customHeight="1">
      <c r="A72" s="263" t="s">
        <v>192</v>
      </c>
      <c r="B72" s="23" t="s">
        <v>34</v>
      </c>
      <c r="C72" s="192">
        <v>1680649</v>
      </c>
      <c r="D72" s="102">
        <v>18965</v>
      </c>
      <c r="E72" s="102">
        <v>55372</v>
      </c>
      <c r="F72" s="102">
        <v>263645</v>
      </c>
      <c r="G72" s="108">
        <f t="shared" ref="G72:G74" si="38">SUM(C72:F72)</f>
        <v>2018631</v>
      </c>
      <c r="H72" s="102">
        <v>273765</v>
      </c>
      <c r="I72" s="102">
        <v>64079</v>
      </c>
      <c r="J72" s="76">
        <f t="shared" ref="J72:J74" si="39">SUM(H72:I72)</f>
        <v>337844</v>
      </c>
      <c r="K72" s="80">
        <f t="shared" ref="K72:K77" si="40">G72+J72</f>
        <v>2356475</v>
      </c>
      <c r="L72" s="68">
        <v>678474</v>
      </c>
      <c r="M72" s="102">
        <v>80251</v>
      </c>
      <c r="N72" s="76">
        <f t="shared" ref="N72:N74" si="41">SUM(L72:M72)</f>
        <v>758725</v>
      </c>
      <c r="O72" s="83">
        <f t="shared" ref="O72:O77" si="42">K72+N72</f>
        <v>3115200</v>
      </c>
      <c r="P72" s="4"/>
    </row>
    <row r="73" spans="1:16" ht="20.25" customHeight="1">
      <c r="A73" s="264"/>
      <c r="B73" s="24" t="s">
        <v>35</v>
      </c>
      <c r="C73" s="69">
        <v>4252</v>
      </c>
      <c r="D73" s="5"/>
      <c r="E73" s="5"/>
      <c r="F73" s="5">
        <v>41896</v>
      </c>
      <c r="G73" s="109">
        <f t="shared" si="38"/>
        <v>46148</v>
      </c>
      <c r="H73" s="5">
        <v>67711</v>
      </c>
      <c r="I73" s="5">
        <v>9353</v>
      </c>
      <c r="J73" s="77">
        <f t="shared" si="39"/>
        <v>77064</v>
      </c>
      <c r="K73" s="81">
        <f t="shared" si="40"/>
        <v>123212</v>
      </c>
      <c r="L73" s="70">
        <v>1768</v>
      </c>
      <c r="M73" s="5"/>
      <c r="N73" s="77">
        <f t="shared" si="41"/>
        <v>1768</v>
      </c>
      <c r="O73" s="72">
        <f t="shared" si="42"/>
        <v>124980</v>
      </c>
      <c r="P73" s="4"/>
    </row>
    <row r="74" spans="1:16" ht="20.25" customHeight="1" thickBot="1">
      <c r="A74" s="265"/>
      <c r="B74" s="71" t="s">
        <v>1</v>
      </c>
      <c r="C74" s="94">
        <f>SUM(C72:C73)</f>
        <v>1684901</v>
      </c>
      <c r="D74" s="86">
        <f>SUM(D72:D73)</f>
        <v>18965</v>
      </c>
      <c r="E74" s="86">
        <f>SUM(E72:E73)</f>
        <v>55372</v>
      </c>
      <c r="F74" s="86">
        <f>SUM(F72:F73)</f>
        <v>305541</v>
      </c>
      <c r="G74" s="107">
        <f t="shared" si="38"/>
        <v>2064779</v>
      </c>
      <c r="H74" s="86">
        <f>SUM(H72:H73)</f>
        <v>341476</v>
      </c>
      <c r="I74" s="86">
        <f>SUM(I72:I73)</f>
        <v>73432</v>
      </c>
      <c r="J74" s="86">
        <f t="shared" si="39"/>
        <v>414908</v>
      </c>
      <c r="K74" s="93">
        <f t="shared" si="40"/>
        <v>2479687</v>
      </c>
      <c r="L74" s="90">
        <f>SUM(L72:L73)</f>
        <v>680242</v>
      </c>
      <c r="M74" s="90">
        <f>SUM(M72:M73)</f>
        <v>80251</v>
      </c>
      <c r="N74" s="86">
        <f t="shared" si="41"/>
        <v>760493</v>
      </c>
      <c r="O74" s="93">
        <f t="shared" si="42"/>
        <v>3240180</v>
      </c>
      <c r="P74" s="4"/>
    </row>
    <row r="75" spans="1:16" ht="20.25" customHeight="1">
      <c r="A75" s="263" t="s">
        <v>193</v>
      </c>
      <c r="B75" s="23" t="s">
        <v>34</v>
      </c>
      <c r="C75" s="206">
        <f>2072636-D75-E75-F75-G76</f>
        <v>1698611</v>
      </c>
      <c r="D75" s="205">
        <v>20750</v>
      </c>
      <c r="E75" s="205">
        <v>54863</v>
      </c>
      <c r="F75" s="205">
        <v>259611</v>
      </c>
      <c r="G75" s="108">
        <f t="shared" ref="G75:G77" si="43">SUM(C75:F75)</f>
        <v>2033835</v>
      </c>
      <c r="H75" s="205">
        <v>286445</v>
      </c>
      <c r="I75" s="205">
        <v>71546</v>
      </c>
      <c r="J75" s="76">
        <f t="shared" ref="J75:J77" si="44">SUM(H75:I75)</f>
        <v>357991</v>
      </c>
      <c r="K75" s="80">
        <f t="shared" si="40"/>
        <v>2391826</v>
      </c>
      <c r="L75" s="207">
        <f>1063519-M75-H75</f>
        <v>704850</v>
      </c>
      <c r="M75" s="205">
        <v>72224</v>
      </c>
      <c r="N75" s="76">
        <f t="shared" ref="N75:N77" si="45">SUM(L75:M75)</f>
        <v>777074</v>
      </c>
      <c r="O75" s="83">
        <f t="shared" si="42"/>
        <v>3168900</v>
      </c>
      <c r="P75" s="4"/>
    </row>
    <row r="76" spans="1:16" ht="20.25" customHeight="1">
      <c r="A76" s="264"/>
      <c r="B76" s="24" t="s">
        <v>35</v>
      </c>
      <c r="C76" s="204">
        <v>3018</v>
      </c>
      <c r="D76" s="203"/>
      <c r="E76" s="203"/>
      <c r="F76" s="203">
        <v>35783</v>
      </c>
      <c r="G76" s="109">
        <f t="shared" si="43"/>
        <v>38801</v>
      </c>
      <c r="H76" s="203">
        <v>80563</v>
      </c>
      <c r="I76" s="203">
        <v>11129</v>
      </c>
      <c r="J76" s="77">
        <f t="shared" si="44"/>
        <v>91692</v>
      </c>
      <c r="K76" s="81">
        <f t="shared" si="40"/>
        <v>130493</v>
      </c>
      <c r="L76" s="70">
        <v>6313</v>
      </c>
      <c r="M76" s="203"/>
      <c r="N76" s="77">
        <f t="shared" si="45"/>
        <v>6313</v>
      </c>
      <c r="O76" s="72">
        <f t="shared" si="42"/>
        <v>136806</v>
      </c>
      <c r="P76" s="4"/>
    </row>
    <row r="77" spans="1:16" ht="20.25" customHeight="1" thickBot="1">
      <c r="A77" s="265"/>
      <c r="B77" s="71" t="s">
        <v>1</v>
      </c>
      <c r="C77" s="94">
        <f>SUM(C75:C76)</f>
        <v>1701629</v>
      </c>
      <c r="D77" s="86">
        <f>SUM(D75:D76)</f>
        <v>20750</v>
      </c>
      <c r="E77" s="86">
        <f>SUM(E75:E76)</f>
        <v>54863</v>
      </c>
      <c r="F77" s="86">
        <f>SUM(F75:F76)</f>
        <v>295394</v>
      </c>
      <c r="G77" s="107">
        <f t="shared" si="43"/>
        <v>2072636</v>
      </c>
      <c r="H77" s="86">
        <f>SUM(H75:H76)</f>
        <v>367008</v>
      </c>
      <c r="I77" s="86">
        <f>SUM(I75:I76)</f>
        <v>82675</v>
      </c>
      <c r="J77" s="86">
        <f t="shared" si="44"/>
        <v>449683</v>
      </c>
      <c r="K77" s="93">
        <f t="shared" si="40"/>
        <v>2522319</v>
      </c>
      <c r="L77" s="90">
        <f>SUM(L75:L76)</f>
        <v>711163</v>
      </c>
      <c r="M77" s="90">
        <f>SUM(M75:M76)</f>
        <v>72224</v>
      </c>
      <c r="N77" s="86">
        <f t="shared" si="45"/>
        <v>783387</v>
      </c>
      <c r="O77" s="93">
        <f t="shared" si="42"/>
        <v>3305706</v>
      </c>
      <c r="P77" s="4"/>
    </row>
    <row r="78" spans="1:16" ht="20.25" customHeight="1">
      <c r="A78" s="263" t="s">
        <v>201</v>
      </c>
      <c r="B78" s="23" t="s">
        <v>34</v>
      </c>
      <c r="C78" s="206">
        <v>1839956</v>
      </c>
      <c r="D78" s="205">
        <f>11305+7845</f>
        <v>19150</v>
      </c>
      <c r="E78" s="205">
        <v>56437</v>
      </c>
      <c r="F78" s="205">
        <f>268401</f>
        <v>268401</v>
      </c>
      <c r="G78" s="108">
        <f t="shared" ref="G78:G80" si="46">SUM(C78:F78)</f>
        <v>2183944</v>
      </c>
      <c r="H78" s="102">
        <v>304809</v>
      </c>
      <c r="I78" s="102">
        <v>80925</v>
      </c>
      <c r="J78" s="76">
        <f t="shared" ref="J78:J80" si="47">SUM(H78:I78)</f>
        <v>385734</v>
      </c>
      <c r="K78" s="80">
        <f t="shared" ref="K78:K80" si="48">G78+J78</f>
        <v>2569678</v>
      </c>
      <c r="L78" s="207">
        <v>766413</v>
      </c>
      <c r="M78" s="205">
        <v>66790</v>
      </c>
      <c r="N78" s="76">
        <f t="shared" ref="N78:N80" si="49">SUM(L78:M78)</f>
        <v>833203</v>
      </c>
      <c r="O78" s="83">
        <f t="shared" ref="O78:O80" si="50">K78+N78</f>
        <v>3402881</v>
      </c>
      <c r="P78" s="4"/>
    </row>
    <row r="79" spans="1:16" ht="20.25" customHeight="1">
      <c r="A79" s="264"/>
      <c r="B79" s="24" t="s">
        <v>35</v>
      </c>
      <c r="C79" s="204">
        <v>1731</v>
      </c>
      <c r="D79" s="203"/>
      <c r="E79" s="203"/>
      <c r="F79" s="203">
        <v>40260</v>
      </c>
      <c r="G79" s="109">
        <f t="shared" si="46"/>
        <v>41991</v>
      </c>
      <c r="H79" s="5">
        <v>76929</v>
      </c>
      <c r="I79" s="5">
        <v>7415</v>
      </c>
      <c r="J79" s="77">
        <f t="shared" si="47"/>
        <v>84344</v>
      </c>
      <c r="K79" s="81">
        <f t="shared" si="48"/>
        <v>126335</v>
      </c>
      <c r="L79" s="70">
        <v>4972</v>
      </c>
      <c r="M79" s="5"/>
      <c r="N79" s="77">
        <f t="shared" si="49"/>
        <v>4972</v>
      </c>
      <c r="O79" s="72">
        <f t="shared" si="50"/>
        <v>131307</v>
      </c>
      <c r="P79" s="4"/>
    </row>
    <row r="80" spans="1:16" ht="20.25" customHeight="1" thickBot="1">
      <c r="A80" s="265"/>
      <c r="B80" s="71" t="s">
        <v>1</v>
      </c>
      <c r="C80" s="94">
        <f>SUM(C78:C79)</f>
        <v>1841687</v>
      </c>
      <c r="D80" s="86">
        <f>SUM(D78:D79)</f>
        <v>19150</v>
      </c>
      <c r="E80" s="86">
        <f>SUM(E78:E79)</f>
        <v>56437</v>
      </c>
      <c r="F80" s="86">
        <f>SUM(F78:F79)</f>
        <v>308661</v>
      </c>
      <c r="G80" s="107">
        <f t="shared" si="46"/>
        <v>2225935</v>
      </c>
      <c r="H80" s="86">
        <f>SUM(H78:H79)</f>
        <v>381738</v>
      </c>
      <c r="I80" s="86">
        <f>SUM(I78:I79)</f>
        <v>88340</v>
      </c>
      <c r="J80" s="86">
        <f t="shared" si="47"/>
        <v>470078</v>
      </c>
      <c r="K80" s="93">
        <f t="shared" si="48"/>
        <v>2696013</v>
      </c>
      <c r="L80" s="90">
        <f>SUM(L78:L79)</f>
        <v>771385</v>
      </c>
      <c r="M80" s="90">
        <f>SUM(M78:M79)</f>
        <v>66790</v>
      </c>
      <c r="N80" s="86">
        <f t="shared" si="49"/>
        <v>838175</v>
      </c>
      <c r="O80" s="93">
        <f t="shared" si="50"/>
        <v>3534188</v>
      </c>
      <c r="P80" s="4"/>
    </row>
    <row r="81" spans="7:12">
      <c r="G81" s="202"/>
    </row>
    <row r="82" spans="7:12">
      <c r="L82" s="4"/>
    </row>
  </sheetData>
  <mergeCells count="33">
    <mergeCell ref="A24:A26"/>
    <mergeCell ref="A66:A68"/>
    <mergeCell ref="A45:A47"/>
    <mergeCell ref="A42:A44"/>
    <mergeCell ref="A39:A41"/>
    <mergeCell ref="A36:A38"/>
    <mergeCell ref="A48:A50"/>
    <mergeCell ref="A6:A8"/>
    <mergeCell ref="A12:A14"/>
    <mergeCell ref="A18:A20"/>
    <mergeCell ref="A21:A23"/>
    <mergeCell ref="A9:A11"/>
    <mergeCell ref="A15:A17"/>
    <mergeCell ref="A78:A80"/>
    <mergeCell ref="A72:A74"/>
    <mergeCell ref="A69:A71"/>
    <mergeCell ref="A75:A77"/>
    <mergeCell ref="A27:A29"/>
    <mergeCell ref="A33:A35"/>
    <mergeCell ref="A63:A65"/>
    <mergeCell ref="A30:A32"/>
    <mergeCell ref="A60:A62"/>
    <mergeCell ref="A57:A59"/>
    <mergeCell ref="A54:A56"/>
    <mergeCell ref="A51:A53"/>
    <mergeCell ref="A1:O1"/>
    <mergeCell ref="A4:A5"/>
    <mergeCell ref="B4:B5"/>
    <mergeCell ref="K4:K5"/>
    <mergeCell ref="O4:O5"/>
    <mergeCell ref="L4:N4"/>
    <mergeCell ref="C4:G4"/>
    <mergeCell ref="H4:J4"/>
  </mergeCells>
  <phoneticPr fontId="2" type="noConversion"/>
  <printOptions horizontalCentered="1"/>
  <pageMargins left="0.19685039370078741" right="0.19685039370078741" top="0" bottom="0" header="0.51181102362204722" footer="0.51181102362204722"/>
  <pageSetup paperSize="8" scale="57" orientation="landscape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Y78"/>
  <sheetViews>
    <sheetView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G76" sqref="G76"/>
    </sheetView>
  </sheetViews>
  <sheetFormatPr defaultColWidth="9" defaultRowHeight="15.75"/>
  <cols>
    <col min="1" max="1" width="10.5" style="4" customWidth="1"/>
    <col min="2" max="2" width="17" style="4" customWidth="1"/>
    <col min="3" max="5" width="11.875" style="4" customWidth="1"/>
    <col min="6" max="19" width="10.375" style="4" customWidth="1"/>
    <col min="20" max="25" width="9.125" style="4" customWidth="1"/>
    <col min="26" max="16384" width="9" style="4"/>
  </cols>
  <sheetData>
    <row r="1" spans="1:25" ht="22.5" customHeight="1">
      <c r="A1" s="267" t="s">
        <v>105</v>
      </c>
      <c r="B1" s="268"/>
      <c r="C1" s="268"/>
      <c r="D1" s="268"/>
      <c r="E1" s="268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</row>
    <row r="2" spans="1:25" ht="16.5" thickBot="1">
      <c r="E2" s="16" t="s">
        <v>43</v>
      </c>
    </row>
    <row r="3" spans="1:25" ht="24.75" customHeight="1">
      <c r="A3" s="29" t="s">
        <v>29</v>
      </c>
      <c r="B3" s="62" t="s">
        <v>30</v>
      </c>
      <c r="C3" s="63" t="s">
        <v>41</v>
      </c>
      <c r="D3" s="63" t="s">
        <v>42</v>
      </c>
      <c r="E3" s="64" t="s">
        <v>27</v>
      </c>
    </row>
    <row r="4" spans="1:25" ht="21" customHeight="1">
      <c r="A4" s="243" t="s">
        <v>33</v>
      </c>
      <c r="B4" s="11" t="s">
        <v>5</v>
      </c>
      <c r="C4" s="5">
        <v>90408</v>
      </c>
      <c r="D4" s="5">
        <v>2171</v>
      </c>
      <c r="E4" s="6">
        <f>SUM(C4:D4)</f>
        <v>92579</v>
      </c>
    </row>
    <row r="5" spans="1:25" ht="21" customHeight="1">
      <c r="A5" s="243"/>
      <c r="B5" s="11" t="s">
        <v>35</v>
      </c>
      <c r="C5" s="5">
        <v>461</v>
      </c>
      <c r="D5" s="5">
        <v>48</v>
      </c>
      <c r="E5" s="6">
        <f t="shared" ref="E5:E39" si="0">SUM(C5:D5)</f>
        <v>509</v>
      </c>
    </row>
    <row r="6" spans="1:25" ht="21" customHeight="1" thickBot="1">
      <c r="A6" s="244"/>
      <c r="B6" s="44" t="s">
        <v>27</v>
      </c>
      <c r="C6" s="45">
        <f>SUM(C4:C5)</f>
        <v>90869</v>
      </c>
      <c r="D6" s="45">
        <f>SUM(D4:D5)</f>
        <v>2219</v>
      </c>
      <c r="E6" s="46">
        <f t="shared" si="0"/>
        <v>93088</v>
      </c>
    </row>
    <row r="7" spans="1:25" ht="21" customHeight="1">
      <c r="A7" s="242" t="s">
        <v>6</v>
      </c>
      <c r="B7" s="13" t="s">
        <v>5</v>
      </c>
      <c r="C7" s="14">
        <v>95493</v>
      </c>
      <c r="D7" s="14">
        <v>2733</v>
      </c>
      <c r="E7" s="15">
        <f t="shared" si="0"/>
        <v>98226</v>
      </c>
    </row>
    <row r="8" spans="1:25" ht="21" customHeight="1">
      <c r="A8" s="243"/>
      <c r="B8" s="11" t="s">
        <v>35</v>
      </c>
      <c r="C8" s="5">
        <v>965</v>
      </c>
      <c r="D8" s="5">
        <v>50</v>
      </c>
      <c r="E8" s="6">
        <f t="shared" si="0"/>
        <v>1015</v>
      </c>
    </row>
    <row r="9" spans="1:25" ht="21" customHeight="1" thickBot="1">
      <c r="A9" s="244"/>
      <c r="B9" s="44" t="s">
        <v>27</v>
      </c>
      <c r="C9" s="45">
        <f>SUM(C7:C8)</f>
        <v>96458</v>
      </c>
      <c r="D9" s="45">
        <f>SUM(D7:D8)</f>
        <v>2783</v>
      </c>
      <c r="E9" s="46">
        <f t="shared" si="0"/>
        <v>99241</v>
      </c>
    </row>
    <row r="10" spans="1:25" ht="21" customHeight="1">
      <c r="A10" s="242" t="s">
        <v>7</v>
      </c>
      <c r="B10" s="13" t="s">
        <v>5</v>
      </c>
      <c r="C10" s="14">
        <v>93334</v>
      </c>
      <c r="D10" s="14">
        <v>3893</v>
      </c>
      <c r="E10" s="15">
        <f t="shared" si="0"/>
        <v>97227</v>
      </c>
    </row>
    <row r="11" spans="1:25" ht="21" customHeight="1">
      <c r="A11" s="243"/>
      <c r="B11" s="11" t="s">
        <v>35</v>
      </c>
      <c r="C11" s="5">
        <v>989</v>
      </c>
      <c r="D11" s="5">
        <v>41</v>
      </c>
      <c r="E11" s="6">
        <f t="shared" si="0"/>
        <v>1030</v>
      </c>
    </row>
    <row r="12" spans="1:25" ht="21" customHeight="1" thickBot="1">
      <c r="A12" s="244"/>
      <c r="B12" s="44" t="s">
        <v>27</v>
      </c>
      <c r="C12" s="45">
        <f>SUM(C10:C11)</f>
        <v>94323</v>
      </c>
      <c r="D12" s="45">
        <f>SUM(D10:D11)</f>
        <v>3934</v>
      </c>
      <c r="E12" s="46">
        <f t="shared" si="0"/>
        <v>98257</v>
      </c>
    </row>
    <row r="13" spans="1:25" ht="21" customHeight="1">
      <c r="A13" s="242" t="s">
        <v>8</v>
      </c>
      <c r="B13" s="13" t="s">
        <v>5</v>
      </c>
      <c r="C13" s="14">
        <v>92625</v>
      </c>
      <c r="D13" s="14">
        <v>4662</v>
      </c>
      <c r="E13" s="15">
        <f t="shared" si="0"/>
        <v>97287</v>
      </c>
    </row>
    <row r="14" spans="1:25" ht="21" customHeight="1">
      <c r="A14" s="243"/>
      <c r="B14" s="11" t="s">
        <v>35</v>
      </c>
      <c r="C14" s="5">
        <v>545</v>
      </c>
      <c r="D14" s="5">
        <v>45</v>
      </c>
      <c r="E14" s="6">
        <f t="shared" si="0"/>
        <v>590</v>
      </c>
    </row>
    <row r="15" spans="1:25" ht="21" customHeight="1" thickBot="1">
      <c r="A15" s="244"/>
      <c r="B15" s="44" t="s">
        <v>27</v>
      </c>
      <c r="C15" s="45">
        <f>SUM(C13:C14)</f>
        <v>93170</v>
      </c>
      <c r="D15" s="45">
        <f>SUM(D13:D14)</f>
        <v>4707</v>
      </c>
      <c r="E15" s="46">
        <f t="shared" si="0"/>
        <v>97877</v>
      </c>
    </row>
    <row r="16" spans="1:25" ht="21" customHeight="1">
      <c r="A16" s="242" t="s">
        <v>9</v>
      </c>
      <c r="B16" s="13" t="s">
        <v>5</v>
      </c>
      <c r="C16" s="14">
        <v>109538</v>
      </c>
      <c r="D16" s="14">
        <v>4588</v>
      </c>
      <c r="E16" s="15">
        <f t="shared" si="0"/>
        <v>114126</v>
      </c>
    </row>
    <row r="17" spans="1:5" ht="21" customHeight="1">
      <c r="A17" s="243"/>
      <c r="B17" s="11" t="s">
        <v>35</v>
      </c>
      <c r="C17" s="5">
        <v>1722</v>
      </c>
      <c r="D17" s="5">
        <v>54</v>
      </c>
      <c r="E17" s="6">
        <f t="shared" si="0"/>
        <v>1776</v>
      </c>
    </row>
    <row r="18" spans="1:5" ht="21" customHeight="1" thickBot="1">
      <c r="A18" s="244"/>
      <c r="B18" s="44" t="s">
        <v>27</v>
      </c>
      <c r="C18" s="45">
        <f>SUM(C16:C17)</f>
        <v>111260</v>
      </c>
      <c r="D18" s="45">
        <f>SUM(D16:D17)</f>
        <v>4642</v>
      </c>
      <c r="E18" s="46">
        <f t="shared" si="0"/>
        <v>115902</v>
      </c>
    </row>
    <row r="19" spans="1:5" ht="21" customHeight="1">
      <c r="A19" s="242" t="s">
        <v>10</v>
      </c>
      <c r="B19" s="13" t="s">
        <v>5</v>
      </c>
      <c r="C19" s="14">
        <v>117374</v>
      </c>
      <c r="D19" s="14">
        <v>4449</v>
      </c>
      <c r="E19" s="15">
        <f t="shared" si="0"/>
        <v>121823</v>
      </c>
    </row>
    <row r="20" spans="1:5" ht="21" customHeight="1">
      <c r="A20" s="243"/>
      <c r="B20" s="11" t="s">
        <v>35</v>
      </c>
      <c r="C20" s="5">
        <v>2277</v>
      </c>
      <c r="D20" s="5">
        <v>48</v>
      </c>
      <c r="E20" s="6">
        <f t="shared" si="0"/>
        <v>2325</v>
      </c>
    </row>
    <row r="21" spans="1:5" ht="21" customHeight="1" thickBot="1">
      <c r="A21" s="244"/>
      <c r="B21" s="44" t="s">
        <v>27</v>
      </c>
      <c r="C21" s="45">
        <f>SUM(C19:C20)</f>
        <v>119651</v>
      </c>
      <c r="D21" s="45">
        <f>SUM(D19:D20)</f>
        <v>4497</v>
      </c>
      <c r="E21" s="46">
        <f t="shared" si="0"/>
        <v>124148</v>
      </c>
    </row>
    <row r="22" spans="1:5" ht="21" customHeight="1">
      <c r="A22" s="242" t="s">
        <v>28</v>
      </c>
      <c r="B22" s="13" t="s">
        <v>5</v>
      </c>
      <c r="C22" s="14">
        <v>121456</v>
      </c>
      <c r="D22" s="14">
        <v>4790</v>
      </c>
      <c r="E22" s="15">
        <f t="shared" si="0"/>
        <v>126246</v>
      </c>
    </row>
    <row r="23" spans="1:5" ht="21" customHeight="1">
      <c r="A23" s="243"/>
      <c r="B23" s="11" t="s">
        <v>35</v>
      </c>
      <c r="C23" s="5">
        <v>2752</v>
      </c>
      <c r="D23" s="5">
        <v>42</v>
      </c>
      <c r="E23" s="6">
        <f t="shared" si="0"/>
        <v>2794</v>
      </c>
    </row>
    <row r="24" spans="1:5" ht="21" customHeight="1" thickBot="1">
      <c r="A24" s="244"/>
      <c r="B24" s="44" t="s">
        <v>27</v>
      </c>
      <c r="C24" s="45">
        <f>SUM(C22:C23)</f>
        <v>124208</v>
      </c>
      <c r="D24" s="45">
        <f>SUM(D22:D23)</f>
        <v>4832</v>
      </c>
      <c r="E24" s="112">
        <f t="shared" si="0"/>
        <v>129040</v>
      </c>
    </row>
    <row r="25" spans="1:5" ht="21" customHeight="1">
      <c r="A25" s="251" t="s">
        <v>11</v>
      </c>
      <c r="B25" s="12" t="s">
        <v>5</v>
      </c>
      <c r="C25" s="8">
        <v>131114</v>
      </c>
      <c r="D25" s="8">
        <v>5036</v>
      </c>
      <c r="E25" s="166">
        <f t="shared" si="0"/>
        <v>136150</v>
      </c>
    </row>
    <row r="26" spans="1:5" ht="21" customHeight="1">
      <c r="A26" s="243"/>
      <c r="B26" s="11" t="s">
        <v>35</v>
      </c>
      <c r="C26" s="5">
        <v>2795</v>
      </c>
      <c r="D26" s="5">
        <v>43</v>
      </c>
      <c r="E26" s="115">
        <f t="shared" si="0"/>
        <v>2838</v>
      </c>
    </row>
    <row r="27" spans="1:5" ht="21" customHeight="1" thickBot="1">
      <c r="A27" s="269"/>
      <c r="B27" s="65" t="s">
        <v>27</v>
      </c>
      <c r="C27" s="66">
        <f>SUM(C25:C26)</f>
        <v>133909</v>
      </c>
      <c r="D27" s="66">
        <f>SUM(D25:D26)</f>
        <v>5079</v>
      </c>
      <c r="E27" s="167">
        <f t="shared" si="0"/>
        <v>138988</v>
      </c>
    </row>
    <row r="28" spans="1:5" ht="21" customHeight="1">
      <c r="A28" s="242" t="s">
        <v>12</v>
      </c>
      <c r="B28" s="13" t="s">
        <v>5</v>
      </c>
      <c r="C28" s="14">
        <v>161439</v>
      </c>
      <c r="D28" s="14">
        <v>5756</v>
      </c>
      <c r="E28" s="114">
        <f t="shared" si="0"/>
        <v>167195</v>
      </c>
    </row>
    <row r="29" spans="1:5" ht="21" customHeight="1">
      <c r="A29" s="243"/>
      <c r="B29" s="11" t="s">
        <v>35</v>
      </c>
      <c r="C29" s="5">
        <v>3860</v>
      </c>
      <c r="D29" s="5">
        <v>46</v>
      </c>
      <c r="E29" s="115">
        <f t="shared" si="0"/>
        <v>3906</v>
      </c>
    </row>
    <row r="30" spans="1:5" ht="21" customHeight="1" thickBot="1">
      <c r="A30" s="244"/>
      <c r="B30" s="44" t="s">
        <v>27</v>
      </c>
      <c r="C30" s="45">
        <f>SUM(C28:C29)</f>
        <v>165299</v>
      </c>
      <c r="D30" s="45">
        <f>SUM(D28:D29)</f>
        <v>5802</v>
      </c>
      <c r="E30" s="112">
        <f t="shared" si="0"/>
        <v>171101</v>
      </c>
    </row>
    <row r="31" spans="1:5" ht="21" customHeight="1">
      <c r="A31" s="242" t="s">
        <v>13</v>
      </c>
      <c r="B31" s="13" t="s">
        <v>5</v>
      </c>
      <c r="C31" s="14">
        <v>164964</v>
      </c>
      <c r="D31" s="14">
        <v>4165</v>
      </c>
      <c r="E31" s="114">
        <f t="shared" si="0"/>
        <v>169129</v>
      </c>
    </row>
    <row r="32" spans="1:5" ht="21" customHeight="1">
      <c r="A32" s="243"/>
      <c r="B32" s="11" t="s">
        <v>35</v>
      </c>
      <c r="C32" s="5">
        <v>4514</v>
      </c>
      <c r="D32" s="5">
        <v>49</v>
      </c>
      <c r="E32" s="115">
        <f t="shared" si="0"/>
        <v>4563</v>
      </c>
    </row>
    <row r="33" spans="1:5" ht="21" customHeight="1" thickBot="1">
      <c r="A33" s="244"/>
      <c r="B33" s="44" t="s">
        <v>27</v>
      </c>
      <c r="C33" s="45">
        <f>SUM(C31:C32)</f>
        <v>169478</v>
      </c>
      <c r="D33" s="45">
        <f>SUM(D31:D32)</f>
        <v>4214</v>
      </c>
      <c r="E33" s="112">
        <f t="shared" si="0"/>
        <v>173692</v>
      </c>
    </row>
    <row r="34" spans="1:5" ht="21" customHeight="1">
      <c r="A34" s="242" t="s">
        <v>14</v>
      </c>
      <c r="B34" s="13" t="s">
        <v>5</v>
      </c>
      <c r="C34" s="14">
        <v>162918</v>
      </c>
      <c r="D34" s="14">
        <v>4199</v>
      </c>
      <c r="E34" s="114">
        <f t="shared" si="0"/>
        <v>167117</v>
      </c>
    </row>
    <row r="35" spans="1:5" ht="21" customHeight="1">
      <c r="A35" s="243"/>
      <c r="B35" s="11" t="s">
        <v>35</v>
      </c>
      <c r="C35" s="5">
        <v>4730</v>
      </c>
      <c r="D35" s="5">
        <v>95</v>
      </c>
      <c r="E35" s="115">
        <f t="shared" si="0"/>
        <v>4825</v>
      </c>
    </row>
    <row r="36" spans="1:5" ht="21" customHeight="1" thickBot="1">
      <c r="A36" s="244"/>
      <c r="B36" s="44" t="s">
        <v>27</v>
      </c>
      <c r="C36" s="45">
        <f>SUM(C34:C35)</f>
        <v>167648</v>
      </c>
      <c r="D36" s="45">
        <f>SUM(D34:D35)</f>
        <v>4294</v>
      </c>
      <c r="E36" s="112">
        <f t="shared" si="0"/>
        <v>171942</v>
      </c>
    </row>
    <row r="37" spans="1:5" ht="21" customHeight="1">
      <c r="A37" s="242" t="s">
        <v>15</v>
      </c>
      <c r="B37" s="13" t="s">
        <v>5</v>
      </c>
      <c r="C37" s="14">
        <v>161834</v>
      </c>
      <c r="D37" s="14">
        <v>4537</v>
      </c>
      <c r="E37" s="114">
        <f t="shared" si="0"/>
        <v>166371</v>
      </c>
    </row>
    <row r="38" spans="1:5" ht="21" customHeight="1">
      <c r="A38" s="243"/>
      <c r="B38" s="11" t="s">
        <v>35</v>
      </c>
      <c r="C38" s="5">
        <v>5281</v>
      </c>
      <c r="D38" s="5">
        <v>99</v>
      </c>
      <c r="E38" s="115">
        <f t="shared" si="0"/>
        <v>5380</v>
      </c>
    </row>
    <row r="39" spans="1:5" ht="21" customHeight="1" thickBot="1">
      <c r="A39" s="244"/>
      <c r="B39" s="44" t="s">
        <v>27</v>
      </c>
      <c r="C39" s="45">
        <f>SUM(C37:C38)</f>
        <v>167115</v>
      </c>
      <c r="D39" s="45">
        <f>SUM(D37:D38)</f>
        <v>4636</v>
      </c>
      <c r="E39" s="112">
        <f t="shared" si="0"/>
        <v>171751</v>
      </c>
    </row>
    <row r="40" spans="1:5" ht="21" customHeight="1">
      <c r="A40" s="242" t="s">
        <v>108</v>
      </c>
      <c r="B40" s="13" t="s">
        <v>5</v>
      </c>
      <c r="C40" s="14">
        <v>163705</v>
      </c>
      <c r="D40" s="14">
        <v>3095</v>
      </c>
      <c r="E40" s="114">
        <f t="shared" ref="E40:E45" si="1">SUM(C40:D40)</f>
        <v>166800</v>
      </c>
    </row>
    <row r="41" spans="1:5" ht="21" customHeight="1">
      <c r="A41" s="243"/>
      <c r="B41" s="11" t="s">
        <v>35</v>
      </c>
      <c r="C41" s="5">
        <v>5205</v>
      </c>
      <c r="D41" s="5">
        <v>152</v>
      </c>
      <c r="E41" s="115">
        <f t="shared" si="1"/>
        <v>5357</v>
      </c>
    </row>
    <row r="42" spans="1:5" ht="21" customHeight="1" thickBot="1">
      <c r="A42" s="244"/>
      <c r="B42" s="44" t="s">
        <v>27</v>
      </c>
      <c r="C42" s="45">
        <f>SUM(C40:C41)</f>
        <v>168910</v>
      </c>
      <c r="D42" s="45">
        <f>SUM(D40:D41)</f>
        <v>3247</v>
      </c>
      <c r="E42" s="112">
        <f t="shared" si="1"/>
        <v>172157</v>
      </c>
    </row>
    <row r="43" spans="1:5" ht="21" customHeight="1">
      <c r="A43" s="242" t="s">
        <v>109</v>
      </c>
      <c r="B43" s="13" t="s">
        <v>5</v>
      </c>
      <c r="C43" s="14">
        <v>169737</v>
      </c>
      <c r="D43" s="14">
        <v>3440</v>
      </c>
      <c r="E43" s="114">
        <f t="shared" si="1"/>
        <v>173177</v>
      </c>
    </row>
    <row r="44" spans="1:5" ht="21" customHeight="1">
      <c r="A44" s="243"/>
      <c r="B44" s="11" t="s">
        <v>35</v>
      </c>
      <c r="C44" s="5">
        <v>5308</v>
      </c>
      <c r="D44" s="5">
        <v>128</v>
      </c>
      <c r="E44" s="115">
        <f t="shared" si="1"/>
        <v>5436</v>
      </c>
    </row>
    <row r="45" spans="1:5" ht="21" customHeight="1" thickBot="1">
      <c r="A45" s="244"/>
      <c r="B45" s="44" t="s">
        <v>27</v>
      </c>
      <c r="C45" s="45">
        <f>SUM(C43:C44)</f>
        <v>175045</v>
      </c>
      <c r="D45" s="45">
        <f>SUM(D43:D44)</f>
        <v>3568</v>
      </c>
      <c r="E45" s="112">
        <f t="shared" si="1"/>
        <v>178613</v>
      </c>
    </row>
    <row r="46" spans="1:5" ht="21" customHeight="1">
      <c r="A46" s="270" t="s">
        <v>128</v>
      </c>
      <c r="B46" s="13" t="s">
        <v>5</v>
      </c>
      <c r="C46" s="14">
        <v>165221</v>
      </c>
      <c r="D46" s="14">
        <v>2404</v>
      </c>
      <c r="E46" s="114">
        <f t="shared" ref="E46:E51" si="2">SUM(C46:D46)</f>
        <v>167625</v>
      </c>
    </row>
    <row r="47" spans="1:5" ht="21" customHeight="1">
      <c r="A47" s="243"/>
      <c r="B47" s="11" t="s">
        <v>35</v>
      </c>
      <c r="C47" s="5">
        <v>5243</v>
      </c>
      <c r="D47" s="5">
        <v>122</v>
      </c>
      <c r="E47" s="115">
        <f t="shared" si="2"/>
        <v>5365</v>
      </c>
    </row>
    <row r="48" spans="1:5" ht="21" customHeight="1" thickBot="1">
      <c r="A48" s="244"/>
      <c r="B48" s="44" t="s">
        <v>27</v>
      </c>
      <c r="C48" s="45">
        <f>SUM(C46:C47)</f>
        <v>170464</v>
      </c>
      <c r="D48" s="45">
        <f>SUM(D46:D47)</f>
        <v>2526</v>
      </c>
      <c r="E48" s="112">
        <f t="shared" si="2"/>
        <v>172990</v>
      </c>
    </row>
    <row r="49" spans="1:5" ht="21" hidden="1" customHeight="1">
      <c r="A49" s="270" t="s">
        <v>112</v>
      </c>
      <c r="B49" s="13" t="s">
        <v>5</v>
      </c>
      <c r="C49" s="14">
        <v>187860</v>
      </c>
      <c r="D49" s="14">
        <v>3621</v>
      </c>
      <c r="E49" s="114">
        <f t="shared" si="2"/>
        <v>191481</v>
      </c>
    </row>
    <row r="50" spans="1:5" ht="21" hidden="1" customHeight="1">
      <c r="A50" s="243"/>
      <c r="B50" s="11" t="s">
        <v>35</v>
      </c>
      <c r="C50" s="5">
        <v>5617</v>
      </c>
      <c r="D50" s="5">
        <v>156</v>
      </c>
      <c r="E50" s="115">
        <f t="shared" si="2"/>
        <v>5773</v>
      </c>
    </row>
    <row r="51" spans="1:5" ht="21" hidden="1" customHeight="1" thickBot="1">
      <c r="A51" s="244"/>
      <c r="B51" s="44" t="s">
        <v>27</v>
      </c>
      <c r="C51" s="45">
        <f>SUM(C49:C50)</f>
        <v>193477</v>
      </c>
      <c r="D51" s="45">
        <f>SUM(D49:D50)</f>
        <v>3777</v>
      </c>
      <c r="E51" s="112">
        <f t="shared" si="2"/>
        <v>197254</v>
      </c>
    </row>
    <row r="52" spans="1:5" ht="21" customHeight="1">
      <c r="A52" s="270" t="s">
        <v>131</v>
      </c>
      <c r="B52" s="13" t="s">
        <v>5</v>
      </c>
      <c r="C52" s="14">
        <v>147975</v>
      </c>
      <c r="D52" s="14">
        <v>2438</v>
      </c>
      <c r="E52" s="114">
        <f t="shared" ref="E52:E57" si="3">SUM(C52:D52)</f>
        <v>150413</v>
      </c>
    </row>
    <row r="53" spans="1:5" ht="21" customHeight="1">
      <c r="A53" s="243"/>
      <c r="B53" s="11" t="s">
        <v>35</v>
      </c>
      <c r="C53" s="5">
        <v>4605</v>
      </c>
      <c r="D53" s="5">
        <v>112</v>
      </c>
      <c r="E53" s="115">
        <f t="shared" si="3"/>
        <v>4717</v>
      </c>
    </row>
    <row r="54" spans="1:5" ht="21" customHeight="1" thickBot="1">
      <c r="A54" s="244"/>
      <c r="B54" s="44" t="s">
        <v>27</v>
      </c>
      <c r="C54" s="45">
        <f>SUM(C52:C53)</f>
        <v>152580</v>
      </c>
      <c r="D54" s="45">
        <f>SUM(D52:D53)</f>
        <v>2550</v>
      </c>
      <c r="E54" s="112">
        <f t="shared" si="3"/>
        <v>155130</v>
      </c>
    </row>
    <row r="55" spans="1:5" ht="21" customHeight="1">
      <c r="A55" s="270" t="s">
        <v>130</v>
      </c>
      <c r="B55" s="13" t="s">
        <v>5</v>
      </c>
      <c r="C55" s="14">
        <v>140587</v>
      </c>
      <c r="D55" s="14">
        <v>2061</v>
      </c>
      <c r="E55" s="114">
        <f t="shared" si="3"/>
        <v>142648</v>
      </c>
    </row>
    <row r="56" spans="1:5" ht="21" customHeight="1">
      <c r="A56" s="243"/>
      <c r="B56" s="11" t="s">
        <v>35</v>
      </c>
      <c r="C56" s="5">
        <v>4759</v>
      </c>
      <c r="D56" s="5">
        <v>60</v>
      </c>
      <c r="E56" s="115">
        <f t="shared" si="3"/>
        <v>4819</v>
      </c>
    </row>
    <row r="57" spans="1:5" ht="21" customHeight="1" thickBot="1">
      <c r="A57" s="244"/>
      <c r="B57" s="44" t="s">
        <v>27</v>
      </c>
      <c r="C57" s="45">
        <f>SUM(C55:C56)</f>
        <v>145346</v>
      </c>
      <c r="D57" s="45">
        <f>SUM(D55:D56)</f>
        <v>2121</v>
      </c>
      <c r="E57" s="112">
        <f t="shared" si="3"/>
        <v>147467</v>
      </c>
    </row>
    <row r="58" spans="1:5" ht="21" customHeight="1">
      <c r="A58" s="270" t="s">
        <v>134</v>
      </c>
      <c r="B58" s="13" t="s">
        <v>5</v>
      </c>
      <c r="C58" s="14">
        <v>141278</v>
      </c>
      <c r="D58" s="14">
        <v>2353</v>
      </c>
      <c r="E58" s="114">
        <f t="shared" ref="E58:E63" si="4">SUM(C58:D58)</f>
        <v>143631</v>
      </c>
    </row>
    <row r="59" spans="1:5" ht="21" customHeight="1">
      <c r="A59" s="243"/>
      <c r="B59" s="11" t="s">
        <v>35</v>
      </c>
      <c r="C59" s="5">
        <v>4835</v>
      </c>
      <c r="D59" s="5">
        <v>132</v>
      </c>
      <c r="E59" s="115">
        <f t="shared" si="4"/>
        <v>4967</v>
      </c>
    </row>
    <row r="60" spans="1:5" ht="21" customHeight="1" thickBot="1">
      <c r="A60" s="244"/>
      <c r="B60" s="44" t="s">
        <v>27</v>
      </c>
      <c r="C60" s="45">
        <f>SUM(C58:C59)</f>
        <v>146113</v>
      </c>
      <c r="D60" s="45">
        <f>SUM(D58:D59)</f>
        <v>2485</v>
      </c>
      <c r="E60" s="112">
        <f t="shared" si="4"/>
        <v>148598</v>
      </c>
    </row>
    <row r="61" spans="1:5" ht="16.5">
      <c r="A61" s="270" t="s">
        <v>172</v>
      </c>
      <c r="B61" s="13" t="s">
        <v>5</v>
      </c>
      <c r="C61" s="14">
        <v>154228</v>
      </c>
      <c r="D61" s="14">
        <v>4035</v>
      </c>
      <c r="E61" s="114">
        <f t="shared" si="4"/>
        <v>158263</v>
      </c>
    </row>
    <row r="62" spans="1:5" ht="16.5">
      <c r="A62" s="243"/>
      <c r="B62" s="11" t="s">
        <v>35</v>
      </c>
      <c r="C62" s="5">
        <v>5147</v>
      </c>
      <c r="D62" s="5">
        <v>138</v>
      </c>
      <c r="E62" s="115">
        <f t="shared" si="4"/>
        <v>5285</v>
      </c>
    </row>
    <row r="63" spans="1:5" ht="17.25" thickBot="1">
      <c r="A63" s="244"/>
      <c r="B63" s="44" t="s">
        <v>27</v>
      </c>
      <c r="C63" s="45">
        <f>SUM(C61:C62)</f>
        <v>159375</v>
      </c>
      <c r="D63" s="45">
        <f>SUM(D61:D62)</f>
        <v>4173</v>
      </c>
      <c r="E63" s="112">
        <f t="shared" si="4"/>
        <v>163548</v>
      </c>
    </row>
    <row r="64" spans="1:5" ht="16.5">
      <c r="A64" s="270" t="s">
        <v>178</v>
      </c>
      <c r="B64" s="13" t="s">
        <v>5</v>
      </c>
      <c r="C64" s="14">
        <v>155548</v>
      </c>
      <c r="D64" s="14">
        <v>4488</v>
      </c>
      <c r="E64" s="114">
        <f t="shared" ref="E64:E66" si="5">SUM(C64:D64)</f>
        <v>160036</v>
      </c>
    </row>
    <row r="65" spans="1:5" ht="16.5">
      <c r="A65" s="243"/>
      <c r="B65" s="11" t="s">
        <v>35</v>
      </c>
      <c r="C65" s="5">
        <v>5540</v>
      </c>
      <c r="D65" s="5">
        <v>151</v>
      </c>
      <c r="E65" s="115">
        <f t="shared" si="5"/>
        <v>5691</v>
      </c>
    </row>
    <row r="66" spans="1:5" ht="17.25" thickBot="1">
      <c r="A66" s="244"/>
      <c r="B66" s="44" t="s">
        <v>27</v>
      </c>
      <c r="C66" s="45">
        <f>SUM(C64:C65)</f>
        <v>161088</v>
      </c>
      <c r="D66" s="45">
        <f>SUM(D64:D65)</f>
        <v>4639</v>
      </c>
      <c r="E66" s="112">
        <f t="shared" si="5"/>
        <v>165727</v>
      </c>
    </row>
    <row r="67" spans="1:5" ht="16.5">
      <c r="A67" s="270" t="s">
        <v>183</v>
      </c>
      <c r="B67" s="13" t="s">
        <v>5</v>
      </c>
      <c r="C67" s="14">
        <v>128877</v>
      </c>
      <c r="D67" s="14">
        <v>3408</v>
      </c>
      <c r="E67" s="114">
        <f t="shared" ref="E67:E69" si="6">SUM(C67:D67)</f>
        <v>132285</v>
      </c>
    </row>
    <row r="68" spans="1:5" ht="16.5">
      <c r="A68" s="243"/>
      <c r="B68" s="11" t="s">
        <v>35</v>
      </c>
      <c r="C68" s="5">
        <v>5288</v>
      </c>
      <c r="D68" s="5">
        <v>161</v>
      </c>
      <c r="E68" s="115">
        <f t="shared" si="6"/>
        <v>5449</v>
      </c>
    </row>
    <row r="69" spans="1:5" ht="17.25" thickBot="1">
      <c r="A69" s="244"/>
      <c r="B69" s="44" t="s">
        <v>27</v>
      </c>
      <c r="C69" s="45">
        <f>SUM(C67:C68)</f>
        <v>134165</v>
      </c>
      <c r="D69" s="45">
        <f>SUM(D67:D68)</f>
        <v>3569</v>
      </c>
      <c r="E69" s="112">
        <f t="shared" si="6"/>
        <v>137734</v>
      </c>
    </row>
    <row r="70" spans="1:5" ht="16.5">
      <c r="A70" s="270" t="s">
        <v>189</v>
      </c>
      <c r="B70" s="13" t="s">
        <v>5</v>
      </c>
      <c r="C70" s="14">
        <v>146247</v>
      </c>
      <c r="D70" s="14">
        <v>2929</v>
      </c>
      <c r="E70" s="114">
        <f t="shared" ref="E70:E75" si="7">SUM(C70:D70)</f>
        <v>149176</v>
      </c>
    </row>
    <row r="71" spans="1:5" ht="16.5">
      <c r="A71" s="243"/>
      <c r="B71" s="11" t="s">
        <v>35</v>
      </c>
      <c r="C71" s="5">
        <v>6232</v>
      </c>
      <c r="D71" s="5">
        <v>269</v>
      </c>
      <c r="E71" s="115">
        <f t="shared" si="7"/>
        <v>6501</v>
      </c>
    </row>
    <row r="72" spans="1:5" ht="17.25" thickBot="1">
      <c r="A72" s="244"/>
      <c r="B72" s="44" t="s">
        <v>27</v>
      </c>
      <c r="C72" s="45">
        <f>SUM(C70:C71)</f>
        <v>152479</v>
      </c>
      <c r="D72" s="45">
        <f>SUM(D70:D71)</f>
        <v>3198</v>
      </c>
      <c r="E72" s="112">
        <f t="shared" si="7"/>
        <v>155677</v>
      </c>
    </row>
    <row r="73" spans="1:5" ht="16.5">
      <c r="A73" s="270" t="s">
        <v>193</v>
      </c>
      <c r="B73" s="13" t="s">
        <v>5</v>
      </c>
      <c r="C73" s="14">
        <v>164634</v>
      </c>
      <c r="D73" s="14">
        <v>2590</v>
      </c>
      <c r="E73" s="114">
        <f t="shared" si="7"/>
        <v>167224</v>
      </c>
    </row>
    <row r="74" spans="1:5" ht="16.5">
      <c r="A74" s="243"/>
      <c r="B74" s="11" t="s">
        <v>35</v>
      </c>
      <c r="C74" s="203">
        <v>7556</v>
      </c>
      <c r="D74" s="203">
        <v>293</v>
      </c>
      <c r="E74" s="115">
        <f t="shared" si="7"/>
        <v>7849</v>
      </c>
    </row>
    <row r="75" spans="1:5" ht="17.25" thickBot="1">
      <c r="A75" s="244"/>
      <c r="B75" s="44" t="s">
        <v>27</v>
      </c>
      <c r="C75" s="45">
        <f>SUM(C73:C74)</f>
        <v>172190</v>
      </c>
      <c r="D75" s="45">
        <f>SUM(D73:D74)</f>
        <v>2883</v>
      </c>
      <c r="E75" s="112">
        <f t="shared" si="7"/>
        <v>175073</v>
      </c>
    </row>
    <row r="76" spans="1:5" ht="16.5">
      <c r="A76" s="270" t="s">
        <v>201</v>
      </c>
      <c r="B76" s="13" t="s">
        <v>5</v>
      </c>
      <c r="C76" s="14">
        <v>169891</v>
      </c>
      <c r="D76" s="14">
        <v>2169</v>
      </c>
      <c r="E76" s="114">
        <f t="shared" ref="E76:E78" si="8">SUM(C76:D76)</f>
        <v>172060</v>
      </c>
    </row>
    <row r="77" spans="1:5" ht="16.5">
      <c r="A77" s="243"/>
      <c r="B77" s="11" t="s">
        <v>35</v>
      </c>
      <c r="C77" s="5">
        <v>8279</v>
      </c>
      <c r="D77" s="5">
        <v>298</v>
      </c>
      <c r="E77" s="115">
        <f t="shared" si="8"/>
        <v>8577</v>
      </c>
    </row>
    <row r="78" spans="1:5" ht="17.25" thickBot="1">
      <c r="A78" s="244"/>
      <c r="B78" s="44" t="s">
        <v>27</v>
      </c>
      <c r="C78" s="45">
        <f>SUM(C76:C77)</f>
        <v>178170</v>
      </c>
      <c r="D78" s="45">
        <f>SUM(D76:D77)</f>
        <v>2467</v>
      </c>
      <c r="E78" s="112">
        <f t="shared" si="8"/>
        <v>180637</v>
      </c>
    </row>
  </sheetData>
  <mergeCells count="26">
    <mergeCell ref="A76:A78"/>
    <mergeCell ref="A70:A72"/>
    <mergeCell ref="A67:A69"/>
    <mergeCell ref="A37:A39"/>
    <mergeCell ref="A64:A66"/>
    <mergeCell ref="A61:A63"/>
    <mergeCell ref="A58:A60"/>
    <mergeCell ref="A55:A57"/>
    <mergeCell ref="A52:A54"/>
    <mergeCell ref="A49:A51"/>
    <mergeCell ref="A46:A48"/>
    <mergeCell ref="A43:A45"/>
    <mergeCell ref="A40:A42"/>
    <mergeCell ref="A73:A75"/>
    <mergeCell ref="A31:A33"/>
    <mergeCell ref="A34:A36"/>
    <mergeCell ref="A1:E1"/>
    <mergeCell ref="A28:A30"/>
    <mergeCell ref="A4:A6"/>
    <mergeCell ref="A7:A9"/>
    <mergeCell ref="A10:A12"/>
    <mergeCell ref="A13:A15"/>
    <mergeCell ref="A16:A18"/>
    <mergeCell ref="A19:A21"/>
    <mergeCell ref="A22:A24"/>
    <mergeCell ref="A25:A27"/>
  </mergeCells>
  <phoneticPr fontId="2" type="noConversion"/>
  <printOptions horizontalCentered="1"/>
  <pageMargins left="0.15748031496062992" right="0.15748031496062992" top="0.19685039370078741" bottom="0.19685039370078741" header="0.51181102362204722" footer="0.51181102362204722"/>
  <pageSetup paperSize="8" scale="82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A48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J50" sqref="J50"/>
    </sheetView>
  </sheetViews>
  <sheetFormatPr defaultRowHeight="16.5"/>
  <cols>
    <col min="1" max="1" width="15.75" customWidth="1"/>
    <col min="2" max="2" width="12.125" customWidth="1"/>
    <col min="3" max="3" width="9.75" customWidth="1"/>
    <col min="4" max="5" width="12.875" customWidth="1"/>
    <col min="6" max="6" width="10.5" customWidth="1"/>
    <col min="7" max="7" width="8.5" customWidth="1"/>
    <col min="8" max="8" width="12.875" customWidth="1"/>
    <col min="9" max="10" width="9.5" customWidth="1"/>
    <col min="11" max="11" width="12.5" customWidth="1"/>
    <col min="12" max="12" width="10.875" customWidth="1"/>
    <col min="13" max="13" width="12" customWidth="1"/>
    <col min="14" max="15" width="12.875" customWidth="1"/>
    <col min="16" max="16" width="10.5" customWidth="1"/>
    <col min="17" max="17" width="11.5" customWidth="1"/>
    <col min="18" max="18" width="12.875" customWidth="1"/>
    <col min="19" max="19" width="10.875" customWidth="1"/>
    <col min="20" max="20" width="19.375" customWidth="1"/>
    <col min="21" max="22" width="10.875" customWidth="1"/>
    <col min="23" max="23" width="12.125" customWidth="1"/>
    <col min="24" max="24" width="14.875" customWidth="1"/>
    <col min="25" max="25" width="17.125" customWidth="1"/>
    <col min="26" max="26" width="11.125" style="148" bestFit="1" customWidth="1"/>
  </cols>
  <sheetData>
    <row r="1" spans="1:27" s="208" customFormat="1" ht="22.5" customHeight="1">
      <c r="A1" s="236" t="s">
        <v>135</v>
      </c>
      <c r="B1" s="245"/>
      <c r="C1" s="245"/>
      <c r="D1" s="245"/>
      <c r="E1" s="245"/>
      <c r="F1" s="245"/>
      <c r="G1" s="245"/>
      <c r="H1" s="245"/>
      <c r="I1" s="245"/>
      <c r="J1" s="245"/>
      <c r="K1" s="245"/>
      <c r="L1" s="245"/>
      <c r="M1" s="245"/>
      <c r="N1" s="245"/>
      <c r="O1" s="245"/>
      <c r="P1" s="245"/>
      <c r="Q1" s="245"/>
      <c r="R1" s="245"/>
      <c r="S1" s="245"/>
      <c r="T1" s="245"/>
      <c r="U1" s="245"/>
      <c r="V1" s="245"/>
      <c r="W1" s="245"/>
      <c r="X1" s="245"/>
      <c r="Y1" s="245"/>
      <c r="Z1" s="245"/>
      <c r="AA1" s="28"/>
    </row>
    <row r="2" spans="1:27">
      <c r="C2" s="209"/>
      <c r="D2" s="4"/>
      <c r="E2" s="4"/>
      <c r="Q2" s="16"/>
      <c r="Y2" s="16" t="s">
        <v>43</v>
      </c>
    </row>
    <row r="3" spans="1:27" s="47" customFormat="1" ht="42.75" customHeight="1">
      <c r="A3" s="210" t="s">
        <v>136</v>
      </c>
      <c r="B3" s="39" t="s">
        <v>88</v>
      </c>
      <c r="C3" s="39" t="s">
        <v>137</v>
      </c>
      <c r="D3" s="39" t="s">
        <v>89</v>
      </c>
      <c r="E3" s="39" t="s">
        <v>90</v>
      </c>
      <c r="F3" s="39" t="s">
        <v>139</v>
      </c>
      <c r="G3" s="39" t="s">
        <v>140</v>
      </c>
      <c r="H3" s="39" t="s">
        <v>91</v>
      </c>
      <c r="I3" s="39" t="s">
        <v>92</v>
      </c>
      <c r="J3" s="39" t="s">
        <v>93</v>
      </c>
      <c r="K3" s="39" t="s">
        <v>99</v>
      </c>
      <c r="L3" s="39" t="s">
        <v>100</v>
      </c>
      <c r="M3" s="39" t="s">
        <v>94</v>
      </c>
      <c r="N3" s="39" t="s">
        <v>96</v>
      </c>
      <c r="O3" s="39" t="s">
        <v>97</v>
      </c>
      <c r="P3" s="39" t="s">
        <v>95</v>
      </c>
      <c r="Q3" s="39" t="s">
        <v>141</v>
      </c>
      <c r="R3" s="39" t="s">
        <v>98</v>
      </c>
      <c r="S3" s="39" t="s">
        <v>138</v>
      </c>
      <c r="T3" s="214" t="s">
        <v>175</v>
      </c>
      <c r="U3" s="39" t="s">
        <v>182</v>
      </c>
      <c r="V3" s="214" t="s">
        <v>186</v>
      </c>
      <c r="W3" s="39" t="s">
        <v>196</v>
      </c>
      <c r="X3" s="39" t="s">
        <v>197</v>
      </c>
      <c r="Y3" s="39" t="s">
        <v>195</v>
      </c>
      <c r="Z3" s="182" t="s">
        <v>19</v>
      </c>
    </row>
    <row r="4" spans="1:27" s="48" customFormat="1" ht="17.25" customHeight="1">
      <c r="A4" s="211" t="s">
        <v>142</v>
      </c>
      <c r="B4" s="212">
        <v>9817</v>
      </c>
      <c r="C4" s="212">
        <f>165825+281530</f>
        <v>447355</v>
      </c>
      <c r="D4" s="212">
        <v>103730</v>
      </c>
      <c r="E4" s="212">
        <v>285000</v>
      </c>
      <c r="F4" s="212">
        <v>42000</v>
      </c>
      <c r="G4" s="212">
        <v>48000</v>
      </c>
      <c r="H4" s="212"/>
      <c r="I4" s="212">
        <v>49000</v>
      </c>
      <c r="J4" s="212"/>
      <c r="K4" s="212"/>
      <c r="L4" s="212"/>
      <c r="M4" s="212">
        <v>28714</v>
      </c>
      <c r="N4" s="212">
        <v>270000</v>
      </c>
      <c r="O4" s="212"/>
      <c r="P4" s="212">
        <v>230000</v>
      </c>
      <c r="Q4" s="212">
        <v>16000</v>
      </c>
      <c r="R4" s="212"/>
      <c r="S4" s="212"/>
      <c r="T4" s="212">
        <v>173900</v>
      </c>
      <c r="U4" s="212"/>
      <c r="V4" s="212"/>
      <c r="W4" s="212">
        <v>167935</v>
      </c>
      <c r="X4" s="212">
        <v>72157</v>
      </c>
      <c r="Y4" s="212">
        <v>1211908</v>
      </c>
      <c r="Z4" s="212">
        <f>SUM(B4:Y4)</f>
        <v>3155516</v>
      </c>
    </row>
    <row r="5" spans="1:27" s="48" customFormat="1" ht="17.25" customHeight="1">
      <c r="A5" s="211" t="s">
        <v>143</v>
      </c>
      <c r="B5" s="212">
        <v>80183</v>
      </c>
      <c r="C5" s="212">
        <v>182946</v>
      </c>
      <c r="D5" s="212">
        <v>139270</v>
      </c>
      <c r="E5" s="212">
        <v>294945</v>
      </c>
      <c r="F5" s="212"/>
      <c r="G5" s="212"/>
      <c r="H5" s="212">
        <v>254986</v>
      </c>
      <c r="I5" s="212"/>
      <c r="J5" s="212">
        <v>48000</v>
      </c>
      <c r="K5" s="212">
        <v>45000</v>
      </c>
      <c r="L5" s="212">
        <v>47500</v>
      </c>
      <c r="M5" s="212">
        <v>435920</v>
      </c>
      <c r="N5" s="212">
        <v>350000</v>
      </c>
      <c r="O5" s="212">
        <v>450310</v>
      </c>
      <c r="P5" s="212">
        <v>270000</v>
      </c>
      <c r="Q5" s="212">
        <v>22000</v>
      </c>
      <c r="R5" s="212">
        <v>768328</v>
      </c>
      <c r="S5" s="212">
        <v>99990</v>
      </c>
      <c r="T5" s="212">
        <v>409340</v>
      </c>
      <c r="U5" s="212">
        <v>57992</v>
      </c>
      <c r="V5" s="212">
        <v>190000</v>
      </c>
      <c r="W5" s="212">
        <v>90426</v>
      </c>
      <c r="X5" s="212">
        <v>38853</v>
      </c>
      <c r="Y5" s="212"/>
      <c r="Z5" s="212">
        <f>SUM(B5:Y5)</f>
        <v>4275989</v>
      </c>
    </row>
    <row r="6" spans="1:27" s="48" customFormat="1" ht="17.25" customHeight="1" thickBot="1">
      <c r="A6" s="98" t="s">
        <v>1</v>
      </c>
      <c r="B6" s="99">
        <f>SUM(B4:B5)</f>
        <v>90000</v>
      </c>
      <c r="C6" s="99">
        <f t="shared" ref="C6:Y6" si="0">SUM(C4:C5)</f>
        <v>630301</v>
      </c>
      <c r="D6" s="99">
        <f t="shared" si="0"/>
        <v>243000</v>
      </c>
      <c r="E6" s="99">
        <f t="shared" si="0"/>
        <v>579945</v>
      </c>
      <c r="F6" s="99">
        <f t="shared" si="0"/>
        <v>42000</v>
      </c>
      <c r="G6" s="99">
        <f t="shared" si="0"/>
        <v>48000</v>
      </c>
      <c r="H6" s="99">
        <f t="shared" si="0"/>
        <v>254986</v>
      </c>
      <c r="I6" s="99">
        <f t="shared" si="0"/>
        <v>49000</v>
      </c>
      <c r="J6" s="99">
        <f t="shared" si="0"/>
        <v>48000</v>
      </c>
      <c r="K6" s="99">
        <f t="shared" ref="K6" si="1">SUM(K4:K5)</f>
        <v>45000</v>
      </c>
      <c r="L6" s="99">
        <f>SUM(L4:L5)</f>
        <v>47500</v>
      </c>
      <c r="M6" s="99">
        <f t="shared" si="0"/>
        <v>464634</v>
      </c>
      <c r="N6" s="99">
        <f t="shared" si="0"/>
        <v>620000</v>
      </c>
      <c r="O6" s="99">
        <f t="shared" si="0"/>
        <v>450310</v>
      </c>
      <c r="P6" s="99">
        <f t="shared" ref="P6" si="2">SUM(P4:P5)</f>
        <v>500000</v>
      </c>
      <c r="Q6" s="99">
        <f t="shared" si="0"/>
        <v>38000</v>
      </c>
      <c r="R6" s="99">
        <f t="shared" si="0"/>
        <v>768328</v>
      </c>
      <c r="S6" s="99">
        <f>SUM(S4:S5)</f>
        <v>99990</v>
      </c>
      <c r="T6" s="99">
        <f>SUM(T4:T5)</f>
        <v>583240</v>
      </c>
      <c r="U6" s="99">
        <f>SUM(U4:U5)</f>
        <v>57992</v>
      </c>
      <c r="V6" s="99">
        <f>SUM(V4:V5)</f>
        <v>190000</v>
      </c>
      <c r="W6" s="99">
        <f t="shared" si="0"/>
        <v>258361</v>
      </c>
      <c r="X6" s="99">
        <f t="shared" si="0"/>
        <v>111010</v>
      </c>
      <c r="Y6" s="99">
        <f t="shared" si="0"/>
        <v>1211908</v>
      </c>
      <c r="Z6" s="151">
        <f>SUM(B6:Y6)</f>
        <v>7431505</v>
      </c>
    </row>
    <row r="7" spans="1:27" s="48" customFormat="1" ht="17.25" thickTop="1">
      <c r="A7" s="271" t="s">
        <v>144</v>
      </c>
      <c r="B7" s="271"/>
      <c r="C7" s="271"/>
      <c r="D7" s="271"/>
      <c r="E7" s="271"/>
      <c r="F7" s="271"/>
      <c r="G7" s="271"/>
      <c r="H7" s="271"/>
      <c r="I7" s="271"/>
      <c r="J7" s="271"/>
      <c r="K7" s="271"/>
      <c r="L7" s="271"/>
      <c r="M7" s="271"/>
      <c r="N7" s="271"/>
      <c r="O7" s="271"/>
      <c r="P7" s="271"/>
      <c r="Q7" s="271"/>
      <c r="R7" s="271"/>
      <c r="S7" s="271"/>
      <c r="T7" s="271"/>
      <c r="U7" s="271"/>
      <c r="V7" s="271"/>
      <c r="W7" s="271"/>
      <c r="X7" s="271"/>
      <c r="Y7" s="271"/>
      <c r="Z7" s="149"/>
    </row>
    <row r="8" spans="1:27" ht="17.25" customHeight="1">
      <c r="A8" s="213">
        <v>2001</v>
      </c>
      <c r="B8" s="96">
        <v>9817</v>
      </c>
      <c r="C8" s="97">
        <v>281530</v>
      </c>
      <c r="D8" s="97"/>
      <c r="E8" s="97"/>
      <c r="F8" s="96"/>
      <c r="G8" s="96"/>
      <c r="H8" s="96"/>
      <c r="I8" s="96"/>
      <c r="J8" s="96"/>
      <c r="K8" s="96"/>
      <c r="L8" s="96"/>
      <c r="M8" s="96"/>
      <c r="N8" s="96"/>
      <c r="O8" s="96"/>
      <c r="P8" s="96"/>
      <c r="Q8" s="96"/>
      <c r="R8" s="96"/>
      <c r="S8" s="96"/>
      <c r="T8" s="96"/>
      <c r="U8" s="96"/>
      <c r="V8" s="96"/>
      <c r="W8" s="96"/>
      <c r="X8" s="96"/>
      <c r="Y8" s="96"/>
      <c r="Z8" s="212">
        <f t="shared" ref="Z8:Z22" si="3">SUM(B8:Y8)</f>
        <v>291347</v>
      </c>
    </row>
    <row r="9" spans="1:27" ht="17.25" customHeight="1">
      <c r="A9" s="213">
        <v>2002</v>
      </c>
      <c r="B9" s="96">
        <v>33443</v>
      </c>
      <c r="C9" s="96"/>
      <c r="D9" s="96"/>
      <c r="E9" s="96"/>
      <c r="F9" s="96"/>
      <c r="G9" s="96"/>
      <c r="H9" s="96"/>
      <c r="I9" s="96"/>
      <c r="J9" s="96"/>
      <c r="K9" s="96"/>
      <c r="L9" s="96"/>
      <c r="M9" s="96"/>
      <c r="N9" s="96"/>
      <c r="O9" s="96"/>
      <c r="P9" s="96"/>
      <c r="Q9" s="96"/>
      <c r="R9" s="96"/>
      <c r="S9" s="96"/>
      <c r="T9" s="96"/>
      <c r="U9" s="96"/>
      <c r="V9" s="96"/>
      <c r="W9" s="96"/>
      <c r="X9" s="96"/>
      <c r="Y9" s="96"/>
      <c r="Z9" s="212">
        <f t="shared" si="3"/>
        <v>33443</v>
      </c>
    </row>
    <row r="10" spans="1:27" ht="17.25" customHeight="1">
      <c r="A10" s="213">
        <v>2003</v>
      </c>
      <c r="B10" s="96">
        <v>46740</v>
      </c>
      <c r="C10" s="96"/>
      <c r="D10" s="96">
        <v>89270</v>
      </c>
      <c r="E10" s="96"/>
      <c r="F10" s="96"/>
      <c r="G10" s="96"/>
      <c r="H10" s="96"/>
      <c r="I10" s="96"/>
      <c r="J10" s="96"/>
      <c r="K10" s="96"/>
      <c r="L10" s="96"/>
      <c r="M10" s="96"/>
      <c r="N10" s="96"/>
      <c r="O10" s="96"/>
      <c r="P10" s="96"/>
      <c r="Q10" s="96"/>
      <c r="R10" s="96"/>
      <c r="S10" s="96"/>
      <c r="T10" s="96"/>
      <c r="U10" s="96"/>
      <c r="V10" s="96"/>
      <c r="W10" s="96"/>
      <c r="X10" s="96"/>
      <c r="Y10" s="96"/>
      <c r="Z10" s="212">
        <f t="shared" si="3"/>
        <v>136010</v>
      </c>
    </row>
    <row r="11" spans="1:27" ht="17.25" customHeight="1">
      <c r="A11" s="213">
        <v>2004</v>
      </c>
      <c r="B11" s="96"/>
      <c r="C11" s="96">
        <v>182946</v>
      </c>
      <c r="D11" s="96">
        <v>50000</v>
      </c>
      <c r="E11" s="96">
        <v>2000</v>
      </c>
      <c r="F11" s="96"/>
      <c r="G11" s="96"/>
      <c r="H11" s="96"/>
      <c r="I11" s="96"/>
      <c r="J11" s="96"/>
      <c r="K11" s="96"/>
      <c r="L11" s="96"/>
      <c r="M11" s="96"/>
      <c r="N11" s="96"/>
      <c r="O11" s="96"/>
      <c r="P11" s="96"/>
      <c r="Q11" s="96"/>
      <c r="R11" s="96"/>
      <c r="S11" s="96"/>
      <c r="T11" s="96"/>
      <c r="U11" s="96"/>
      <c r="V11" s="96"/>
      <c r="W11" s="96"/>
      <c r="X11" s="96"/>
      <c r="Y11" s="96"/>
      <c r="Z11" s="212">
        <f t="shared" si="3"/>
        <v>234946</v>
      </c>
    </row>
    <row r="12" spans="1:27" ht="17.25" customHeight="1">
      <c r="A12" s="213">
        <v>2005</v>
      </c>
      <c r="B12" s="96"/>
      <c r="C12" s="96"/>
      <c r="D12" s="96"/>
      <c r="E12" s="96">
        <v>130000</v>
      </c>
      <c r="F12" s="96">
        <v>42000</v>
      </c>
      <c r="G12" s="96">
        <v>48000</v>
      </c>
      <c r="H12" s="96"/>
      <c r="I12" s="96"/>
      <c r="J12" s="96"/>
      <c r="K12" s="96"/>
      <c r="L12" s="96"/>
      <c r="M12" s="96"/>
      <c r="N12" s="96"/>
      <c r="O12" s="96"/>
      <c r="P12" s="96"/>
      <c r="Q12" s="96"/>
      <c r="R12" s="96"/>
      <c r="S12" s="96"/>
      <c r="T12" s="96"/>
      <c r="U12" s="96"/>
      <c r="V12" s="96"/>
      <c r="W12" s="96"/>
      <c r="X12" s="96"/>
      <c r="Y12" s="96"/>
      <c r="Z12" s="212">
        <f t="shared" si="3"/>
        <v>220000</v>
      </c>
    </row>
    <row r="13" spans="1:27" ht="17.25" customHeight="1">
      <c r="A13" s="213">
        <v>2006</v>
      </c>
      <c r="B13" s="96"/>
      <c r="C13" s="96"/>
      <c r="D13" s="96"/>
      <c r="E13" s="96">
        <v>100000</v>
      </c>
      <c r="F13" s="96"/>
      <c r="G13" s="96"/>
      <c r="H13" s="96">
        <v>100000</v>
      </c>
      <c r="I13" s="96">
        <v>24000</v>
      </c>
      <c r="J13" s="96"/>
      <c r="K13" s="96"/>
      <c r="L13" s="96"/>
      <c r="M13" s="96"/>
      <c r="N13" s="96"/>
      <c r="O13" s="96"/>
      <c r="P13" s="96"/>
      <c r="Q13" s="96"/>
      <c r="R13" s="96"/>
      <c r="S13" s="96"/>
      <c r="T13" s="96"/>
      <c r="U13" s="96"/>
      <c r="V13" s="96"/>
      <c r="W13" s="96"/>
      <c r="X13" s="96"/>
      <c r="Y13" s="96"/>
      <c r="Z13" s="212">
        <f t="shared" si="3"/>
        <v>224000</v>
      </c>
    </row>
    <row r="14" spans="1:27" ht="17.25" customHeight="1">
      <c r="A14" s="213">
        <v>2007</v>
      </c>
      <c r="B14" s="96"/>
      <c r="C14" s="96"/>
      <c r="D14" s="96"/>
      <c r="E14" s="96">
        <v>110000</v>
      </c>
      <c r="F14" s="96"/>
      <c r="G14" s="96"/>
      <c r="H14" s="96">
        <v>50000</v>
      </c>
      <c r="I14" s="96">
        <v>25000</v>
      </c>
      <c r="J14" s="96"/>
      <c r="K14" s="96"/>
      <c r="L14" s="96"/>
      <c r="M14" s="96"/>
      <c r="N14" s="96"/>
      <c r="O14" s="96"/>
      <c r="P14" s="96"/>
      <c r="Q14" s="96"/>
      <c r="R14" s="96"/>
      <c r="S14" s="96"/>
      <c r="T14" s="96"/>
      <c r="U14" s="96"/>
      <c r="V14" s="96"/>
      <c r="W14" s="96"/>
      <c r="X14" s="96"/>
      <c r="Y14" s="96"/>
      <c r="Z14" s="212">
        <f t="shared" si="3"/>
        <v>185000</v>
      </c>
    </row>
    <row r="15" spans="1:27" ht="17.25" customHeight="1">
      <c r="A15" s="213">
        <v>2008</v>
      </c>
      <c r="B15" s="96"/>
      <c r="C15" s="96"/>
      <c r="D15" s="96"/>
      <c r="E15" s="96">
        <v>237945</v>
      </c>
      <c r="F15" s="96"/>
      <c r="G15" s="96"/>
      <c r="H15" s="96">
        <v>104986</v>
      </c>
      <c r="I15" s="96"/>
      <c r="J15" s="96">
        <v>48000</v>
      </c>
      <c r="K15" s="96"/>
      <c r="L15" s="96"/>
      <c r="M15" s="96"/>
      <c r="N15" s="96"/>
      <c r="O15" s="96"/>
      <c r="P15" s="96"/>
      <c r="Q15" s="96"/>
      <c r="R15" s="96"/>
      <c r="S15" s="96"/>
      <c r="T15" s="96"/>
      <c r="U15" s="96"/>
      <c r="V15" s="96"/>
      <c r="W15" s="96"/>
      <c r="X15" s="96"/>
      <c r="Y15" s="96"/>
      <c r="Z15" s="212">
        <f t="shared" si="3"/>
        <v>390931</v>
      </c>
    </row>
    <row r="16" spans="1:27" ht="17.25" customHeight="1">
      <c r="A16" s="213">
        <v>2009</v>
      </c>
      <c r="B16" s="96"/>
      <c r="C16" s="96"/>
      <c r="D16" s="96"/>
      <c r="E16" s="96"/>
      <c r="F16" s="96"/>
      <c r="G16" s="96"/>
      <c r="H16" s="96"/>
      <c r="I16" s="96"/>
      <c r="J16" s="96"/>
      <c r="K16" s="96">
        <v>626</v>
      </c>
      <c r="L16" s="96"/>
      <c r="M16" s="96"/>
      <c r="N16" s="96"/>
      <c r="O16" s="96"/>
      <c r="P16" s="96"/>
      <c r="Q16" s="96"/>
      <c r="R16" s="96"/>
      <c r="S16" s="96"/>
      <c r="T16" s="96"/>
      <c r="U16" s="96"/>
      <c r="V16" s="96"/>
      <c r="W16" s="96"/>
      <c r="X16" s="96"/>
      <c r="Y16" s="96"/>
      <c r="Z16" s="150">
        <f t="shared" si="3"/>
        <v>626</v>
      </c>
    </row>
    <row r="17" spans="1:26" ht="17.25" customHeight="1">
      <c r="A17" s="213">
        <v>2010</v>
      </c>
      <c r="B17" s="96"/>
      <c r="C17" s="96"/>
      <c r="D17" s="96"/>
      <c r="E17" s="96"/>
      <c r="F17" s="96"/>
      <c r="G17" s="96"/>
      <c r="H17" s="96"/>
      <c r="I17" s="96"/>
      <c r="J17" s="96"/>
      <c r="K17" s="96">
        <f>255+8374</f>
        <v>8629</v>
      </c>
      <c r="L17" s="96">
        <f>229+4</f>
        <v>233</v>
      </c>
      <c r="M17" s="96">
        <v>28714</v>
      </c>
      <c r="N17" s="96">
        <v>122799</v>
      </c>
      <c r="O17" s="96">
        <v>50000</v>
      </c>
      <c r="P17" s="96"/>
      <c r="Q17" s="96"/>
      <c r="R17" s="96"/>
      <c r="S17" s="96"/>
      <c r="T17" s="96"/>
      <c r="U17" s="96"/>
      <c r="V17" s="96"/>
      <c r="W17" s="96"/>
      <c r="X17" s="96"/>
      <c r="Y17" s="96"/>
      <c r="Z17" s="150">
        <f t="shared" si="3"/>
        <v>210375</v>
      </c>
    </row>
    <row r="18" spans="1:26" ht="17.25" customHeight="1">
      <c r="A18" s="213">
        <v>2011</v>
      </c>
      <c r="B18" s="96"/>
      <c r="C18" s="96"/>
      <c r="D18" s="96"/>
      <c r="E18" s="96"/>
      <c r="F18" s="96"/>
      <c r="G18" s="96"/>
      <c r="H18" s="96"/>
      <c r="I18" s="96"/>
      <c r="J18" s="96"/>
      <c r="K18" s="96">
        <v>26581</v>
      </c>
      <c r="L18" s="96">
        <v>523</v>
      </c>
      <c r="M18" s="96">
        <v>50000</v>
      </c>
      <c r="N18" s="96">
        <v>10000</v>
      </c>
      <c r="O18" s="96"/>
      <c r="P18" s="96">
        <v>80000</v>
      </c>
      <c r="Q18" s="96"/>
      <c r="R18" s="96"/>
      <c r="S18" s="96"/>
      <c r="T18" s="96"/>
      <c r="U18" s="96"/>
      <c r="V18" s="96"/>
      <c r="W18" s="96"/>
      <c r="X18" s="96"/>
      <c r="Y18" s="96"/>
      <c r="Z18" s="150">
        <f t="shared" si="3"/>
        <v>167104</v>
      </c>
    </row>
    <row r="19" spans="1:26" ht="17.25" customHeight="1">
      <c r="A19" s="213">
        <v>2012</v>
      </c>
      <c r="B19" s="96"/>
      <c r="C19" s="96"/>
      <c r="D19" s="96"/>
      <c r="E19" s="96"/>
      <c r="F19" s="96"/>
      <c r="G19" s="96"/>
      <c r="H19" s="96"/>
      <c r="I19" s="96"/>
      <c r="J19" s="96"/>
      <c r="K19" s="96">
        <v>4708</v>
      </c>
      <c r="L19" s="96">
        <v>512</v>
      </c>
      <c r="M19" s="96">
        <v>220000</v>
      </c>
      <c r="N19" s="96">
        <v>54000</v>
      </c>
      <c r="O19" s="96"/>
      <c r="P19" s="96">
        <v>114000</v>
      </c>
      <c r="Q19" s="96">
        <v>15000</v>
      </c>
      <c r="R19" s="96"/>
      <c r="S19" s="96"/>
      <c r="T19" s="96"/>
      <c r="U19" s="96"/>
      <c r="V19" s="96"/>
      <c r="W19" s="96"/>
      <c r="X19" s="96"/>
      <c r="Y19" s="96"/>
      <c r="Z19" s="150">
        <f t="shared" si="3"/>
        <v>408220</v>
      </c>
    </row>
    <row r="20" spans="1:26" ht="17.25" customHeight="1">
      <c r="A20" s="213">
        <v>2013</v>
      </c>
      <c r="B20" s="96"/>
      <c r="C20" s="96"/>
      <c r="D20" s="96"/>
      <c r="E20" s="96"/>
      <c r="F20" s="96"/>
      <c r="G20" s="96"/>
      <c r="H20" s="96"/>
      <c r="I20" s="96"/>
      <c r="J20" s="96"/>
      <c r="K20" s="96">
        <v>359</v>
      </c>
      <c r="L20" s="96">
        <v>12841</v>
      </c>
      <c r="M20" s="96">
        <v>5000</v>
      </c>
      <c r="N20" s="96">
        <v>120000</v>
      </c>
      <c r="O20" s="96"/>
      <c r="P20" s="96">
        <v>186000</v>
      </c>
      <c r="Q20" s="96">
        <v>23000</v>
      </c>
      <c r="R20" s="96"/>
      <c r="S20" s="96"/>
      <c r="T20" s="96"/>
      <c r="U20" s="96"/>
      <c r="V20" s="96"/>
      <c r="W20" s="96"/>
      <c r="X20" s="96"/>
      <c r="Y20" s="96"/>
      <c r="Z20" s="150">
        <f t="shared" si="3"/>
        <v>347200</v>
      </c>
    </row>
    <row r="21" spans="1:26" ht="17.25" customHeight="1">
      <c r="A21" s="213">
        <v>2014</v>
      </c>
      <c r="B21" s="96"/>
      <c r="C21" s="96"/>
      <c r="D21" s="96"/>
      <c r="E21" s="96"/>
      <c r="F21" s="96"/>
      <c r="G21" s="96"/>
      <c r="H21" s="96"/>
      <c r="I21" s="96"/>
      <c r="J21" s="96"/>
      <c r="K21" s="96"/>
      <c r="L21" s="96">
        <v>31275</v>
      </c>
      <c r="M21" s="96">
        <v>86525</v>
      </c>
      <c r="N21" s="96">
        <v>180000</v>
      </c>
      <c r="O21" s="96"/>
      <c r="P21" s="96">
        <v>120000</v>
      </c>
      <c r="Q21" s="96"/>
      <c r="R21" s="96"/>
      <c r="S21" s="96"/>
      <c r="T21" s="96"/>
      <c r="U21" s="96"/>
      <c r="V21" s="96"/>
      <c r="W21" s="96"/>
      <c r="X21" s="96"/>
      <c r="Y21" s="96"/>
      <c r="Z21" s="150">
        <f t="shared" si="3"/>
        <v>417800</v>
      </c>
    </row>
    <row r="22" spans="1:26" ht="17.25" customHeight="1">
      <c r="A22" s="213">
        <v>2015</v>
      </c>
      <c r="B22" s="96"/>
      <c r="C22" s="96"/>
      <c r="D22" s="96"/>
      <c r="E22" s="96"/>
      <c r="F22" s="96"/>
      <c r="G22" s="96"/>
      <c r="H22" s="96"/>
      <c r="I22" s="96"/>
      <c r="J22" s="96"/>
      <c r="K22" s="96"/>
      <c r="L22" s="96">
        <v>1060</v>
      </c>
      <c r="M22" s="96"/>
      <c r="N22" s="96">
        <v>133201</v>
      </c>
      <c r="O22" s="96">
        <v>10000</v>
      </c>
      <c r="P22" s="96"/>
      <c r="Q22" s="96"/>
      <c r="R22" s="96"/>
      <c r="S22" s="96"/>
      <c r="T22" s="96"/>
      <c r="U22" s="96"/>
      <c r="V22" s="96"/>
      <c r="W22" s="96"/>
      <c r="X22" s="96"/>
      <c r="Y22" s="96"/>
      <c r="Z22" s="150">
        <f t="shared" si="3"/>
        <v>144261</v>
      </c>
    </row>
    <row r="23" spans="1:26" s="34" customFormat="1" ht="15.75" hidden="1">
      <c r="A23" s="183"/>
      <c r="B23" s="184">
        <f>SUM(B8:B22)</f>
        <v>90000</v>
      </c>
      <c r="C23" s="184">
        <f t="shared" ref="C23:Y23" si="4">SUM(C8:C22)</f>
        <v>464476</v>
      </c>
      <c r="D23" s="184">
        <f t="shared" si="4"/>
        <v>139270</v>
      </c>
      <c r="E23" s="184">
        <f t="shared" si="4"/>
        <v>579945</v>
      </c>
      <c r="F23" s="184">
        <f t="shared" si="4"/>
        <v>42000</v>
      </c>
      <c r="G23" s="184">
        <f t="shared" si="4"/>
        <v>48000</v>
      </c>
      <c r="H23" s="184">
        <f t="shared" si="4"/>
        <v>254986</v>
      </c>
      <c r="I23" s="184">
        <f t="shared" si="4"/>
        <v>49000</v>
      </c>
      <c r="J23" s="184">
        <f t="shared" si="4"/>
        <v>48000</v>
      </c>
      <c r="K23" s="184">
        <f t="shared" ref="K23:L23" si="5">SUM(K8:K22)</f>
        <v>40903</v>
      </c>
      <c r="L23" s="184">
        <f t="shared" si="5"/>
        <v>46444</v>
      </c>
      <c r="M23" s="184">
        <f t="shared" si="4"/>
        <v>390239</v>
      </c>
      <c r="N23" s="184">
        <f t="shared" si="4"/>
        <v>620000</v>
      </c>
      <c r="O23" s="184">
        <f t="shared" si="4"/>
        <v>60000</v>
      </c>
      <c r="P23" s="184">
        <f t="shared" ref="P23" si="6">SUM(P8:P22)</f>
        <v>500000</v>
      </c>
      <c r="Q23" s="184">
        <f t="shared" si="4"/>
        <v>38000</v>
      </c>
      <c r="R23" s="184">
        <f t="shared" si="4"/>
        <v>0</v>
      </c>
      <c r="S23" s="184"/>
      <c r="T23" s="184"/>
      <c r="U23" s="184"/>
      <c r="V23" s="184"/>
      <c r="W23" s="184">
        <f t="shared" si="4"/>
        <v>0</v>
      </c>
      <c r="X23" s="184">
        <f t="shared" si="4"/>
        <v>0</v>
      </c>
      <c r="Y23" s="184">
        <f t="shared" si="4"/>
        <v>0</v>
      </c>
      <c r="Z23" s="185"/>
    </row>
    <row r="24" spans="1:26" ht="17.25" customHeight="1">
      <c r="A24" s="213">
        <v>2016</v>
      </c>
      <c r="B24" s="96"/>
      <c r="C24" s="96"/>
      <c r="D24" s="96"/>
      <c r="E24" s="96"/>
      <c r="F24" s="96"/>
      <c r="G24" s="96"/>
      <c r="H24" s="96"/>
      <c r="I24" s="96"/>
      <c r="J24" s="96"/>
      <c r="K24" s="96"/>
      <c r="L24" s="96">
        <v>36</v>
      </c>
      <c r="M24" s="96"/>
      <c r="N24" s="96"/>
      <c r="O24" s="96">
        <v>45000</v>
      </c>
      <c r="P24" s="96"/>
      <c r="Q24" s="96"/>
      <c r="R24" s="96">
        <v>30000</v>
      </c>
      <c r="S24" s="96"/>
      <c r="T24" s="96"/>
      <c r="U24" s="96"/>
      <c r="V24" s="96"/>
      <c r="W24" s="96"/>
      <c r="X24" s="96"/>
      <c r="Y24" s="96"/>
      <c r="Z24" s="150">
        <f t="shared" ref="Z24:Z34" si="7">SUM(B24:Y24)</f>
        <v>75036</v>
      </c>
    </row>
    <row r="25" spans="1:26" ht="17.25" customHeight="1">
      <c r="A25" s="213">
        <v>2017</v>
      </c>
      <c r="B25" s="96"/>
      <c r="C25" s="96"/>
      <c r="D25" s="96"/>
      <c r="E25" s="96"/>
      <c r="F25" s="96"/>
      <c r="G25" s="96"/>
      <c r="H25" s="96"/>
      <c r="I25" s="96"/>
      <c r="J25" s="96"/>
      <c r="K25" s="96"/>
      <c r="L25" s="96"/>
      <c r="M25" s="96"/>
      <c r="N25" s="96"/>
      <c r="O25" s="96">
        <v>108000</v>
      </c>
      <c r="P25" s="96"/>
      <c r="Q25" s="96"/>
      <c r="R25" s="96">
        <v>43000</v>
      </c>
      <c r="S25" s="96"/>
      <c r="T25" s="96"/>
      <c r="U25" s="96"/>
      <c r="V25" s="96"/>
      <c r="W25" s="96"/>
      <c r="X25" s="96"/>
      <c r="Y25" s="96"/>
      <c r="Z25" s="150">
        <f t="shared" si="7"/>
        <v>151000</v>
      </c>
    </row>
    <row r="26" spans="1:26" ht="17.25" customHeight="1">
      <c r="A26" s="213">
        <v>2018</v>
      </c>
      <c r="B26" s="96"/>
      <c r="C26" s="96"/>
      <c r="D26" s="96"/>
      <c r="E26" s="96"/>
      <c r="F26" s="96"/>
      <c r="G26" s="96"/>
      <c r="H26" s="96"/>
      <c r="I26" s="96"/>
      <c r="J26" s="96"/>
      <c r="K26" s="96"/>
      <c r="L26" s="96"/>
      <c r="M26" s="96"/>
      <c r="N26" s="96"/>
      <c r="O26" s="96">
        <v>237310</v>
      </c>
      <c r="P26" s="96"/>
      <c r="Q26" s="96"/>
      <c r="R26" s="96">
        <v>120000</v>
      </c>
      <c r="S26" s="96"/>
      <c r="T26" s="96"/>
      <c r="U26" s="96"/>
      <c r="V26" s="96"/>
      <c r="W26" s="96"/>
      <c r="X26" s="96"/>
      <c r="Y26" s="96"/>
      <c r="Z26" s="150">
        <f t="shared" si="7"/>
        <v>357310</v>
      </c>
    </row>
    <row r="27" spans="1:26" ht="17.25" customHeight="1">
      <c r="A27" s="213">
        <v>2019</v>
      </c>
      <c r="B27" s="96"/>
      <c r="C27" s="96"/>
      <c r="D27" s="96"/>
      <c r="E27" s="96"/>
      <c r="F27" s="96"/>
      <c r="G27" s="96"/>
      <c r="H27" s="96"/>
      <c r="I27" s="96"/>
      <c r="J27" s="96"/>
      <c r="K27" s="96"/>
      <c r="L27" s="96"/>
      <c r="M27" s="96"/>
      <c r="N27" s="96"/>
      <c r="O27" s="96"/>
      <c r="P27" s="96"/>
      <c r="Q27" s="96"/>
      <c r="R27" s="96">
        <v>313000</v>
      </c>
      <c r="S27" s="193">
        <v>52</v>
      </c>
      <c r="T27" s="193">
        <v>140</v>
      </c>
      <c r="U27" s="193"/>
      <c r="V27" s="193"/>
      <c r="W27" s="96"/>
      <c r="X27" s="96"/>
      <c r="Y27" s="96"/>
      <c r="Z27" s="150">
        <f t="shared" si="7"/>
        <v>313192</v>
      </c>
    </row>
    <row r="28" spans="1:26" ht="17.25" customHeight="1">
      <c r="A28" s="213">
        <v>2020</v>
      </c>
      <c r="B28" s="96"/>
      <c r="C28" s="96"/>
      <c r="D28" s="96"/>
      <c r="E28" s="96"/>
      <c r="F28" s="96"/>
      <c r="G28" s="96"/>
      <c r="H28" s="96"/>
      <c r="I28" s="96"/>
      <c r="J28" s="96"/>
      <c r="K28" s="96"/>
      <c r="L28" s="96"/>
      <c r="M28" s="96"/>
      <c r="N28" s="96"/>
      <c r="O28" s="96"/>
      <c r="P28" s="96"/>
      <c r="Q28" s="96"/>
      <c r="R28" s="96">
        <v>221380</v>
      </c>
      <c r="S28" s="193">
        <v>1098</v>
      </c>
      <c r="T28" s="193">
        <v>28</v>
      </c>
      <c r="U28" s="193">
        <v>10014</v>
      </c>
      <c r="V28" s="193">
        <v>658</v>
      </c>
      <c r="W28" s="96"/>
      <c r="X28" s="96"/>
      <c r="Y28" s="96"/>
      <c r="Z28" s="150">
        <f t="shared" si="7"/>
        <v>233178</v>
      </c>
    </row>
    <row r="29" spans="1:26" ht="17.25" customHeight="1">
      <c r="A29" s="213">
        <v>2021</v>
      </c>
      <c r="B29" s="96"/>
      <c r="C29" s="96"/>
      <c r="D29" s="96"/>
      <c r="E29" s="96"/>
      <c r="F29" s="96"/>
      <c r="G29" s="96"/>
      <c r="H29" s="96"/>
      <c r="I29" s="96"/>
      <c r="J29" s="96"/>
      <c r="K29" s="96"/>
      <c r="L29" s="96"/>
      <c r="M29" s="96"/>
      <c r="N29" s="96"/>
      <c r="O29" s="96"/>
      <c r="P29" s="96"/>
      <c r="Q29" s="96"/>
      <c r="R29" s="96">
        <v>40948</v>
      </c>
      <c r="S29" s="193">
        <v>4933</v>
      </c>
      <c r="T29" s="193">
        <v>10</v>
      </c>
      <c r="U29" s="193">
        <v>23</v>
      </c>
      <c r="V29" s="193">
        <v>80</v>
      </c>
      <c r="W29" s="96"/>
      <c r="X29" s="96"/>
      <c r="Y29" s="96"/>
      <c r="Z29" s="150">
        <f t="shared" si="7"/>
        <v>45994</v>
      </c>
    </row>
    <row r="30" spans="1:26" ht="17.25" customHeight="1">
      <c r="A30" s="213">
        <v>2022</v>
      </c>
      <c r="B30" s="96"/>
      <c r="C30" s="96"/>
      <c r="D30" s="96"/>
      <c r="E30" s="96"/>
      <c r="F30" s="96"/>
      <c r="G30" s="96"/>
      <c r="H30" s="96"/>
      <c r="I30" s="96"/>
      <c r="J30" s="96"/>
      <c r="K30" s="96"/>
      <c r="L30" s="96"/>
      <c r="M30" s="96"/>
      <c r="N30" s="96"/>
      <c r="O30" s="96"/>
      <c r="P30" s="96"/>
      <c r="Q30" s="96"/>
      <c r="R30" s="96"/>
      <c r="S30" s="193">
        <v>30000</v>
      </c>
      <c r="T30" s="193">
        <v>7711</v>
      </c>
      <c r="U30" s="193">
        <v>15000</v>
      </c>
      <c r="V30" s="193">
        <v>2314</v>
      </c>
      <c r="W30" s="96"/>
      <c r="X30" s="96"/>
      <c r="Y30" s="96"/>
      <c r="Z30" s="150">
        <f t="shared" si="7"/>
        <v>55025</v>
      </c>
    </row>
    <row r="31" spans="1:26" ht="17.25" customHeight="1">
      <c r="A31" s="213">
        <v>2023</v>
      </c>
      <c r="B31" s="96"/>
      <c r="C31" s="96"/>
      <c r="D31" s="96"/>
      <c r="E31" s="96"/>
      <c r="F31" s="96"/>
      <c r="G31" s="96"/>
      <c r="H31" s="96"/>
      <c r="I31" s="96"/>
      <c r="J31" s="96"/>
      <c r="K31" s="96"/>
      <c r="L31" s="96"/>
      <c r="M31" s="96"/>
      <c r="N31" s="96"/>
      <c r="O31" s="96"/>
      <c r="P31" s="96"/>
      <c r="Q31" s="96"/>
      <c r="R31" s="96"/>
      <c r="S31" s="193">
        <v>63907</v>
      </c>
      <c r="T31" s="193">
        <v>34693</v>
      </c>
      <c r="U31" s="193">
        <v>32955</v>
      </c>
      <c r="V31" s="193">
        <v>11</v>
      </c>
      <c r="W31" s="96">
        <v>64590</v>
      </c>
      <c r="X31" s="96">
        <v>27752</v>
      </c>
      <c r="Y31" s="96"/>
      <c r="Z31" s="150">
        <f t="shared" si="7"/>
        <v>223908</v>
      </c>
    </row>
    <row r="32" spans="1:26" ht="17.25" customHeight="1">
      <c r="A32" s="213">
        <v>2024</v>
      </c>
      <c r="B32" s="96"/>
      <c r="C32" s="96"/>
      <c r="D32" s="96"/>
      <c r="E32" s="96"/>
      <c r="F32" s="96"/>
      <c r="G32" s="96"/>
      <c r="H32" s="96"/>
      <c r="I32" s="96"/>
      <c r="J32" s="96"/>
      <c r="K32" s="96"/>
      <c r="L32" s="96"/>
      <c r="M32" s="96"/>
      <c r="N32" s="96"/>
      <c r="O32" s="96"/>
      <c r="P32" s="96"/>
      <c r="Q32" s="96"/>
      <c r="R32" s="96"/>
      <c r="S32" s="193"/>
      <c r="T32" s="193">
        <v>131638</v>
      </c>
      <c r="U32" s="193"/>
      <c r="V32" s="193"/>
      <c r="W32" s="96">
        <v>44391</v>
      </c>
      <c r="X32" s="96">
        <v>18056</v>
      </c>
      <c r="Y32" s="96">
        <v>64000</v>
      </c>
      <c r="Z32" s="150">
        <f t="shared" si="7"/>
        <v>258085</v>
      </c>
    </row>
    <row r="33" spans="1:26" ht="17.25" customHeight="1">
      <c r="A33" s="213">
        <v>2025</v>
      </c>
      <c r="B33" s="96"/>
      <c r="C33" s="96"/>
      <c r="D33" s="96"/>
      <c r="E33" s="96"/>
      <c r="F33" s="96"/>
      <c r="G33" s="96"/>
      <c r="H33" s="96"/>
      <c r="I33" s="96"/>
      <c r="J33" s="96"/>
      <c r="K33" s="96"/>
      <c r="L33" s="96"/>
      <c r="M33" s="96"/>
      <c r="N33" s="96"/>
      <c r="O33" s="96"/>
      <c r="P33" s="96"/>
      <c r="Q33" s="96"/>
      <c r="R33" s="96"/>
      <c r="S33" s="193"/>
      <c r="T33" s="193">
        <v>71918</v>
      </c>
      <c r="U33" s="193"/>
      <c r="V33" s="193"/>
      <c r="W33" s="96"/>
      <c r="X33" s="96">
        <v>3501</v>
      </c>
      <c r="Y33" s="96"/>
      <c r="Z33" s="150">
        <f t="shared" si="7"/>
        <v>75419</v>
      </c>
    </row>
    <row r="34" spans="1:26" ht="17.25" customHeight="1">
      <c r="A34" s="213">
        <v>2026</v>
      </c>
      <c r="B34" s="96"/>
      <c r="C34" s="96"/>
      <c r="D34" s="96"/>
      <c r="E34" s="96"/>
      <c r="F34" s="96"/>
      <c r="G34" s="96"/>
      <c r="H34" s="96"/>
      <c r="I34" s="96"/>
      <c r="J34" s="96"/>
      <c r="K34" s="96"/>
      <c r="L34" s="96"/>
      <c r="M34" s="96"/>
      <c r="N34" s="96"/>
      <c r="O34" s="96"/>
      <c r="P34" s="96"/>
      <c r="Q34" s="96"/>
      <c r="R34" s="96"/>
      <c r="S34" s="193"/>
      <c r="T34" s="193">
        <v>180000</v>
      </c>
      <c r="U34" s="193"/>
      <c r="V34" s="193">
        <v>25000</v>
      </c>
      <c r="W34" s="96">
        <v>149380</v>
      </c>
      <c r="X34" s="96">
        <v>61701</v>
      </c>
      <c r="Y34" s="96">
        <v>330064</v>
      </c>
      <c r="Z34" s="150">
        <f t="shared" si="7"/>
        <v>746145</v>
      </c>
    </row>
    <row r="35" spans="1:26" ht="17.25" customHeight="1">
      <c r="A35" s="213">
        <v>2027</v>
      </c>
      <c r="B35" s="96"/>
      <c r="C35" s="96"/>
      <c r="D35" s="96"/>
      <c r="E35" s="96"/>
      <c r="F35" s="96"/>
      <c r="G35" s="96"/>
      <c r="H35" s="96"/>
      <c r="I35" s="96"/>
      <c r="J35" s="96"/>
      <c r="K35" s="96"/>
      <c r="L35" s="96"/>
      <c r="M35" s="96"/>
      <c r="N35" s="96"/>
      <c r="O35" s="96"/>
      <c r="P35" s="96"/>
      <c r="Q35" s="96"/>
      <c r="R35" s="96"/>
      <c r="S35" s="193"/>
      <c r="T35" s="193">
        <v>157102</v>
      </c>
      <c r="U35" s="193"/>
      <c r="V35" s="193">
        <v>96937</v>
      </c>
      <c r="W35" s="96"/>
      <c r="X35" s="96"/>
      <c r="Y35" s="96">
        <v>817844</v>
      </c>
      <c r="Z35" s="150">
        <f t="shared" ref="Z35:Z41" si="8">SUM(B35:Y35)</f>
        <v>1071883</v>
      </c>
    </row>
    <row r="36" spans="1:26" ht="17.25" hidden="1" customHeight="1">
      <c r="A36" s="213">
        <v>2028</v>
      </c>
      <c r="B36" s="96"/>
      <c r="C36" s="96"/>
      <c r="D36" s="96"/>
      <c r="E36" s="96"/>
      <c r="F36" s="96"/>
      <c r="G36" s="96"/>
      <c r="H36" s="96"/>
      <c r="I36" s="96"/>
      <c r="J36" s="96"/>
      <c r="K36" s="96"/>
      <c r="L36" s="96"/>
      <c r="M36" s="96"/>
      <c r="N36" s="96"/>
      <c r="O36" s="96"/>
      <c r="P36" s="96"/>
      <c r="Q36" s="96"/>
      <c r="R36" s="96"/>
      <c r="S36" s="193"/>
      <c r="T36" s="193"/>
      <c r="U36" s="193"/>
      <c r="V36" s="193"/>
      <c r="W36" s="96"/>
      <c r="X36" s="96"/>
      <c r="Y36" s="96"/>
      <c r="Z36" s="150">
        <f t="shared" si="8"/>
        <v>0</v>
      </c>
    </row>
    <row r="37" spans="1:26" ht="17.25" hidden="1" customHeight="1">
      <c r="A37" s="213">
        <v>2029</v>
      </c>
      <c r="B37" s="96"/>
      <c r="C37" s="96"/>
      <c r="D37" s="96"/>
      <c r="E37" s="96"/>
      <c r="F37" s="96"/>
      <c r="G37" s="96"/>
      <c r="H37" s="96"/>
      <c r="I37" s="96"/>
      <c r="J37" s="96"/>
      <c r="K37" s="96"/>
      <c r="L37" s="96"/>
      <c r="M37" s="96"/>
      <c r="N37" s="96"/>
      <c r="O37" s="96"/>
      <c r="P37" s="96"/>
      <c r="Q37" s="96"/>
      <c r="R37" s="96"/>
      <c r="S37" s="193"/>
      <c r="T37" s="193"/>
      <c r="U37" s="193"/>
      <c r="V37" s="193"/>
      <c r="W37" s="96"/>
      <c r="X37" s="96"/>
      <c r="Y37" s="96"/>
      <c r="Z37" s="150">
        <f t="shared" si="8"/>
        <v>0</v>
      </c>
    </row>
    <row r="38" spans="1:26" ht="17.25" hidden="1" customHeight="1">
      <c r="A38" s="213">
        <v>2030</v>
      </c>
      <c r="B38" s="96"/>
      <c r="C38" s="96"/>
      <c r="D38" s="96"/>
      <c r="E38" s="96"/>
      <c r="F38" s="96"/>
      <c r="G38" s="96"/>
      <c r="H38" s="96"/>
      <c r="I38" s="96"/>
      <c r="J38" s="96"/>
      <c r="K38" s="96"/>
      <c r="L38" s="96"/>
      <c r="M38" s="96"/>
      <c r="N38" s="96"/>
      <c r="O38" s="96"/>
      <c r="P38" s="96"/>
      <c r="Q38" s="96"/>
      <c r="R38" s="96"/>
      <c r="S38" s="193"/>
      <c r="T38" s="193"/>
      <c r="U38" s="193"/>
      <c r="V38" s="193"/>
      <c r="W38" s="96"/>
      <c r="X38" s="96"/>
      <c r="Y38" s="96"/>
      <c r="Z38" s="150">
        <f t="shared" si="8"/>
        <v>0</v>
      </c>
    </row>
    <row r="39" spans="1:26" ht="17.25" hidden="1" customHeight="1">
      <c r="A39" s="213">
        <v>2031</v>
      </c>
      <c r="B39" s="96"/>
      <c r="C39" s="96"/>
      <c r="D39" s="96"/>
      <c r="E39" s="96"/>
      <c r="F39" s="96"/>
      <c r="G39" s="96"/>
      <c r="H39" s="96"/>
      <c r="I39" s="96"/>
      <c r="J39" s="96"/>
      <c r="K39" s="96"/>
      <c r="L39" s="96"/>
      <c r="M39" s="96"/>
      <c r="N39" s="96"/>
      <c r="O39" s="96"/>
      <c r="P39" s="96"/>
      <c r="Q39" s="96"/>
      <c r="R39" s="96"/>
      <c r="S39" s="193"/>
      <c r="T39" s="193"/>
      <c r="U39" s="193"/>
      <c r="V39" s="193"/>
      <c r="W39" s="96"/>
      <c r="X39" s="96"/>
      <c r="Y39" s="96"/>
      <c r="Z39" s="150">
        <f t="shared" si="8"/>
        <v>0</v>
      </c>
    </row>
    <row r="40" spans="1:26" ht="17.25" hidden="1" customHeight="1">
      <c r="A40" s="213">
        <v>2032</v>
      </c>
      <c r="B40" s="96"/>
      <c r="C40" s="96"/>
      <c r="D40" s="96"/>
      <c r="E40" s="96"/>
      <c r="F40" s="96"/>
      <c r="G40" s="96"/>
      <c r="H40" s="96"/>
      <c r="I40" s="96"/>
      <c r="J40" s="96"/>
      <c r="K40" s="96"/>
      <c r="L40" s="96"/>
      <c r="M40" s="96"/>
      <c r="N40" s="96"/>
      <c r="O40" s="96"/>
      <c r="P40" s="96"/>
      <c r="Q40" s="96"/>
      <c r="R40" s="96"/>
      <c r="S40" s="193"/>
      <c r="T40" s="193"/>
      <c r="U40" s="193"/>
      <c r="V40" s="193"/>
      <c r="W40" s="96"/>
      <c r="X40" s="96"/>
      <c r="Y40" s="96"/>
      <c r="Z40" s="150">
        <f t="shared" si="8"/>
        <v>0</v>
      </c>
    </row>
    <row r="41" spans="1:26" ht="17.25" hidden="1" customHeight="1">
      <c r="A41" s="213">
        <v>2033</v>
      </c>
      <c r="B41" s="96"/>
      <c r="C41" s="96"/>
      <c r="D41" s="96"/>
      <c r="E41" s="96"/>
      <c r="F41" s="96"/>
      <c r="G41" s="96"/>
      <c r="H41" s="96"/>
      <c r="I41" s="96"/>
      <c r="J41" s="96"/>
      <c r="K41" s="96"/>
      <c r="L41" s="96"/>
      <c r="M41" s="96"/>
      <c r="N41" s="96"/>
      <c r="O41" s="96"/>
      <c r="P41" s="96"/>
      <c r="Q41" s="96"/>
      <c r="R41" s="96"/>
      <c r="S41" s="193"/>
      <c r="T41" s="193"/>
      <c r="U41" s="193"/>
      <c r="V41" s="193"/>
      <c r="W41" s="96"/>
      <c r="X41" s="96"/>
      <c r="Y41" s="96"/>
      <c r="Z41" s="150">
        <f t="shared" si="8"/>
        <v>0</v>
      </c>
    </row>
    <row r="42" spans="1:26" s="34" customFormat="1" ht="17.25" customHeight="1">
      <c r="A42" t="s">
        <v>145</v>
      </c>
      <c r="Z42" s="148"/>
    </row>
    <row r="43" spans="1:26" s="34" customFormat="1" ht="19.5" customHeight="1">
      <c r="A43" s="34" t="s">
        <v>146</v>
      </c>
      <c r="Z43" s="148"/>
    </row>
    <row r="44" spans="1:26" s="34" customFormat="1" ht="19.5" customHeight="1">
      <c r="A44" s="34" t="s">
        <v>147</v>
      </c>
      <c r="Z44" s="148"/>
    </row>
    <row r="45" spans="1:26" ht="19.5" customHeight="1">
      <c r="A45" s="34" t="s">
        <v>148</v>
      </c>
    </row>
    <row r="46" spans="1:26" ht="19.5" customHeight="1">
      <c r="A46" s="272" t="s">
        <v>187</v>
      </c>
      <c r="B46" s="272"/>
      <c r="C46" s="272"/>
      <c r="D46" s="272"/>
      <c r="E46" s="272"/>
      <c r="F46" s="272"/>
      <c r="G46" s="272"/>
      <c r="H46" s="272"/>
      <c r="I46" s="272"/>
      <c r="J46" s="272"/>
      <c r="K46" s="272"/>
      <c r="L46" s="272"/>
      <c r="M46" s="272"/>
      <c r="N46" s="272"/>
      <c r="O46" s="272"/>
      <c r="P46" s="272"/>
      <c r="Q46" s="272"/>
      <c r="R46" s="272"/>
      <c r="S46" s="272"/>
      <c r="T46" s="272"/>
      <c r="U46" s="272"/>
      <c r="V46" s="272"/>
      <c r="W46" s="272"/>
      <c r="X46" s="272"/>
      <c r="Y46" s="272"/>
      <c r="Z46" s="272"/>
    </row>
    <row r="47" spans="1:26">
      <c r="A47" t="s">
        <v>205</v>
      </c>
      <c r="L47" t="s">
        <v>67</v>
      </c>
    </row>
    <row r="48" spans="1:26">
      <c r="A48" t="s">
        <v>206</v>
      </c>
    </row>
  </sheetData>
  <mergeCells count="3">
    <mergeCell ref="A1:Z1"/>
    <mergeCell ref="A7:Y7"/>
    <mergeCell ref="A46:Z46"/>
  </mergeCells>
  <phoneticPr fontId="2" type="noConversion"/>
  <printOptions horizontalCentered="1"/>
  <pageMargins left="0" right="0" top="0.78740157480314965" bottom="0.78740157480314965" header="0.51181102362204722" footer="0.51181102362204722"/>
  <pageSetup paperSize="8" scale="65" orientation="landscape" r:id="rId1"/>
  <headerFooter alignWithMargins="0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S78"/>
  <sheetViews>
    <sheetView zoomScaleNormal="10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C3" sqref="C3"/>
    </sheetView>
  </sheetViews>
  <sheetFormatPr defaultColWidth="9" defaultRowHeight="15.75"/>
  <cols>
    <col min="1" max="1" width="9.125" style="118" customWidth="1"/>
    <col min="2" max="2" width="12.875" style="118" customWidth="1"/>
    <col min="3" max="3" width="22.75" style="118" bestFit="1" customWidth="1"/>
    <col min="4" max="4" width="19.125" style="118" bestFit="1" customWidth="1"/>
    <col min="5" max="5" width="14.5" style="118" customWidth="1"/>
    <col min="6" max="6" width="15.125" style="118" customWidth="1"/>
    <col min="7" max="7" width="11.75" style="118" customWidth="1"/>
    <col min="8" max="8" width="16.625" style="118" customWidth="1"/>
    <col min="9" max="9" width="15" style="118" customWidth="1"/>
    <col min="10" max="11" width="10.125" style="118" bestFit="1" customWidth="1"/>
    <col min="12" max="12" width="9.125" style="118" bestFit="1" customWidth="1"/>
    <col min="13" max="14" width="10.125" style="118" bestFit="1" customWidth="1"/>
    <col min="15" max="15" width="9.125" style="118" bestFit="1" customWidth="1"/>
    <col min="16" max="17" width="10.125" style="118" bestFit="1" customWidth="1"/>
    <col min="18" max="18" width="9.125" style="118" bestFit="1" customWidth="1"/>
    <col min="19" max="19" width="10.125" style="118" bestFit="1" customWidth="1"/>
    <col min="20" max="16384" width="9" style="118"/>
  </cols>
  <sheetData>
    <row r="1" spans="1:19" s="117" customFormat="1" ht="19.5">
      <c r="A1" s="278" t="s">
        <v>204</v>
      </c>
      <c r="B1" s="279"/>
      <c r="C1" s="279"/>
      <c r="D1" s="279"/>
      <c r="E1" s="279"/>
      <c r="F1" s="279"/>
      <c r="G1" s="279"/>
      <c r="H1" s="279"/>
      <c r="I1" s="279"/>
      <c r="J1" s="116"/>
      <c r="K1" s="116"/>
      <c r="L1" s="116"/>
      <c r="M1" s="116"/>
      <c r="N1" s="116"/>
      <c r="O1" s="116"/>
      <c r="P1" s="116"/>
      <c r="Q1" s="116"/>
      <c r="R1" s="116"/>
      <c r="S1" s="116"/>
    </row>
    <row r="2" spans="1:19" ht="17.25" thickBot="1">
      <c r="I2" s="119" t="s">
        <v>31</v>
      </c>
    </row>
    <row r="3" spans="1:19" ht="24" customHeight="1" thickBot="1">
      <c r="A3" s="120" t="s">
        <v>149</v>
      </c>
      <c r="B3" s="121" t="s">
        <v>150</v>
      </c>
      <c r="C3" s="122" t="s">
        <v>36</v>
      </c>
      <c r="D3" s="122" t="s">
        <v>207</v>
      </c>
      <c r="E3" s="122" t="s">
        <v>37</v>
      </c>
      <c r="F3" s="122" t="s">
        <v>38</v>
      </c>
      <c r="G3" s="122" t="s">
        <v>39</v>
      </c>
      <c r="H3" s="122" t="s">
        <v>40</v>
      </c>
      <c r="I3" s="123" t="s">
        <v>27</v>
      </c>
    </row>
    <row r="4" spans="1:19" ht="21.75" customHeight="1">
      <c r="A4" s="276" t="s">
        <v>102</v>
      </c>
      <c r="B4" s="124" t="s">
        <v>34</v>
      </c>
      <c r="C4" s="125">
        <v>1399155</v>
      </c>
      <c r="D4" s="125">
        <v>244417</v>
      </c>
      <c r="E4" s="125"/>
      <c r="F4" s="125"/>
      <c r="G4" s="125"/>
      <c r="H4" s="125">
        <f>301672-H5</f>
        <v>278815</v>
      </c>
      <c r="I4" s="126">
        <f>SUM(C4:H4)</f>
        <v>1922387</v>
      </c>
    </row>
    <row r="5" spans="1:19" ht="21.75" customHeight="1">
      <c r="A5" s="274"/>
      <c r="B5" s="127" t="s">
        <v>35</v>
      </c>
      <c r="C5" s="128">
        <v>31030</v>
      </c>
      <c r="D5" s="128"/>
      <c r="E5" s="128"/>
      <c r="F5" s="128"/>
      <c r="G5" s="128"/>
      <c r="H5" s="128">
        <v>22857</v>
      </c>
      <c r="I5" s="129">
        <f>SUM(C5:H5)</f>
        <v>53887</v>
      </c>
    </row>
    <row r="6" spans="1:19" ht="21.75" customHeight="1" thickBot="1">
      <c r="A6" s="277"/>
      <c r="B6" s="130" t="s">
        <v>27</v>
      </c>
      <c r="C6" s="131">
        <f t="shared" ref="C6:I6" si="0">SUM(C4:C5)</f>
        <v>1430185</v>
      </c>
      <c r="D6" s="131">
        <f t="shared" si="0"/>
        <v>244417</v>
      </c>
      <c r="E6" s="131">
        <f t="shared" si="0"/>
        <v>0</v>
      </c>
      <c r="F6" s="131">
        <f t="shared" si="0"/>
        <v>0</v>
      </c>
      <c r="G6" s="131">
        <f t="shared" si="0"/>
        <v>0</v>
      </c>
      <c r="H6" s="131">
        <f t="shared" si="0"/>
        <v>301672</v>
      </c>
      <c r="I6" s="169">
        <f t="shared" si="0"/>
        <v>1976274</v>
      </c>
      <c r="J6" s="168"/>
    </row>
    <row r="7" spans="1:19" ht="21.75" customHeight="1">
      <c r="A7" s="276" t="s">
        <v>6</v>
      </c>
      <c r="B7" s="124" t="s">
        <v>34</v>
      </c>
      <c r="C7" s="125">
        <v>1421562</v>
      </c>
      <c r="D7" s="125">
        <f>292923-E7</f>
        <v>287923</v>
      </c>
      <c r="E7" s="125">
        <v>5000</v>
      </c>
      <c r="F7" s="125"/>
      <c r="G7" s="125"/>
      <c r="H7" s="125">
        <f>224661-H8</f>
        <v>155910</v>
      </c>
      <c r="I7" s="132">
        <f>SUM(C7:H7)</f>
        <v>1870395</v>
      </c>
    </row>
    <row r="8" spans="1:19" ht="21.75" customHeight="1">
      <c r="A8" s="274"/>
      <c r="B8" s="127" t="s">
        <v>151</v>
      </c>
      <c r="C8" s="128">
        <v>30000</v>
      </c>
      <c r="D8" s="128"/>
      <c r="E8" s="128"/>
      <c r="F8" s="128"/>
      <c r="G8" s="128"/>
      <c r="H8" s="128">
        <v>68751</v>
      </c>
      <c r="I8" s="129">
        <f>SUM(C8:H8)</f>
        <v>98751</v>
      </c>
    </row>
    <row r="9" spans="1:19" ht="21.75" customHeight="1" thickBot="1">
      <c r="A9" s="277"/>
      <c r="B9" s="130" t="s">
        <v>27</v>
      </c>
      <c r="C9" s="131">
        <f>SUM(C7:C8)</f>
        <v>1451562</v>
      </c>
      <c r="D9" s="131">
        <f t="shared" ref="D9:I9" si="1">SUM(D7:D8)</f>
        <v>287923</v>
      </c>
      <c r="E9" s="131">
        <f t="shared" si="1"/>
        <v>5000</v>
      </c>
      <c r="F9" s="131">
        <f t="shared" si="1"/>
        <v>0</v>
      </c>
      <c r="G9" s="131">
        <f t="shared" si="1"/>
        <v>0</v>
      </c>
      <c r="H9" s="131">
        <f t="shared" si="1"/>
        <v>224661</v>
      </c>
      <c r="I9" s="169">
        <f t="shared" si="1"/>
        <v>1969146</v>
      </c>
    </row>
    <row r="10" spans="1:19" ht="21.75" customHeight="1">
      <c r="A10" s="276" t="s">
        <v>7</v>
      </c>
      <c r="B10" s="124" t="s">
        <v>34</v>
      </c>
      <c r="C10" s="125">
        <v>1403219</v>
      </c>
      <c r="D10" s="125">
        <f>290480-E10-D11</f>
        <v>283480</v>
      </c>
      <c r="E10" s="125">
        <v>5000</v>
      </c>
      <c r="F10" s="125"/>
      <c r="G10" s="125"/>
      <c r="H10" s="125">
        <f>290490-H11</f>
        <v>230079</v>
      </c>
      <c r="I10" s="132">
        <f>SUM(C10:H10)</f>
        <v>1921778</v>
      </c>
    </row>
    <row r="11" spans="1:19" ht="21.75" customHeight="1">
      <c r="A11" s="274"/>
      <c r="B11" s="127" t="s">
        <v>151</v>
      </c>
      <c r="C11" s="128">
        <v>30000</v>
      </c>
      <c r="D11" s="128">
        <v>2000</v>
      </c>
      <c r="E11" s="128"/>
      <c r="F11" s="128"/>
      <c r="G11" s="128"/>
      <c r="H11" s="128">
        <v>60411</v>
      </c>
      <c r="I11" s="129">
        <f>SUM(C11:H11)</f>
        <v>92411</v>
      </c>
    </row>
    <row r="12" spans="1:19" ht="21.75" customHeight="1" thickBot="1">
      <c r="A12" s="277"/>
      <c r="B12" s="130" t="s">
        <v>27</v>
      </c>
      <c r="C12" s="131">
        <f>SUM(C10:C11)</f>
        <v>1433219</v>
      </c>
      <c r="D12" s="131">
        <f t="shared" ref="D12:I12" si="2">SUM(D10:D11)</f>
        <v>285480</v>
      </c>
      <c r="E12" s="131">
        <f t="shared" si="2"/>
        <v>5000</v>
      </c>
      <c r="F12" s="131">
        <f t="shared" si="2"/>
        <v>0</v>
      </c>
      <c r="G12" s="131">
        <f t="shared" si="2"/>
        <v>0</v>
      </c>
      <c r="H12" s="131">
        <f t="shared" si="2"/>
        <v>290490</v>
      </c>
      <c r="I12" s="169">
        <f t="shared" si="2"/>
        <v>2014189</v>
      </c>
    </row>
    <row r="13" spans="1:19" ht="21.75" customHeight="1">
      <c r="A13" s="276" t="s">
        <v>8</v>
      </c>
      <c r="B13" s="124" t="s">
        <v>34</v>
      </c>
      <c r="C13" s="125">
        <v>1359287</v>
      </c>
      <c r="D13" s="125">
        <f>223451-E16</f>
        <v>218451</v>
      </c>
      <c r="E13" s="125">
        <v>5000</v>
      </c>
      <c r="F13" s="125"/>
      <c r="G13" s="125"/>
      <c r="H13" s="125">
        <f>180549-H14</f>
        <v>107639</v>
      </c>
      <c r="I13" s="132">
        <f>SUM(C13:H13)</f>
        <v>1690377</v>
      </c>
    </row>
    <row r="14" spans="1:19" ht="21.75" customHeight="1">
      <c r="A14" s="274"/>
      <c r="B14" s="127" t="s">
        <v>151</v>
      </c>
      <c r="C14" s="128">
        <v>30000</v>
      </c>
      <c r="D14" s="128"/>
      <c r="E14" s="128"/>
      <c r="F14" s="128"/>
      <c r="G14" s="128"/>
      <c r="H14" s="128">
        <v>72910</v>
      </c>
      <c r="I14" s="129">
        <f>SUM(C14:H14)</f>
        <v>102910</v>
      </c>
    </row>
    <row r="15" spans="1:19" ht="21.75" customHeight="1" thickBot="1">
      <c r="A15" s="277"/>
      <c r="B15" s="130" t="s">
        <v>27</v>
      </c>
      <c r="C15" s="131">
        <f>SUM(C13:C14)</f>
        <v>1389287</v>
      </c>
      <c r="D15" s="131">
        <f t="shared" ref="D15:I15" si="3">SUM(D13:D14)</f>
        <v>218451</v>
      </c>
      <c r="E15" s="131">
        <f t="shared" si="3"/>
        <v>5000</v>
      </c>
      <c r="F15" s="131">
        <f t="shared" si="3"/>
        <v>0</v>
      </c>
      <c r="G15" s="131">
        <f t="shared" si="3"/>
        <v>0</v>
      </c>
      <c r="H15" s="131">
        <f t="shared" si="3"/>
        <v>180549</v>
      </c>
      <c r="I15" s="169">
        <f t="shared" si="3"/>
        <v>1793287</v>
      </c>
    </row>
    <row r="16" spans="1:19" ht="21.75" customHeight="1">
      <c r="A16" s="276" t="s">
        <v>9</v>
      </c>
      <c r="B16" s="124" t="s">
        <v>34</v>
      </c>
      <c r="C16" s="125">
        <v>1403929</v>
      </c>
      <c r="D16" s="125">
        <f>332855-E16</f>
        <v>327855</v>
      </c>
      <c r="E16" s="125">
        <v>5000</v>
      </c>
      <c r="F16" s="125"/>
      <c r="G16" s="125"/>
      <c r="H16" s="125">
        <f>78105-H17</f>
        <v>44980</v>
      </c>
      <c r="I16" s="132">
        <f>SUM(C16:H16)</f>
        <v>1781764</v>
      </c>
    </row>
    <row r="17" spans="1:11" ht="21.75" customHeight="1">
      <c r="A17" s="274"/>
      <c r="B17" s="127" t="s">
        <v>151</v>
      </c>
      <c r="C17" s="128">
        <v>30000</v>
      </c>
      <c r="D17" s="128"/>
      <c r="E17" s="128"/>
      <c r="F17" s="128"/>
      <c r="G17" s="128"/>
      <c r="H17" s="128">
        <v>33125</v>
      </c>
      <c r="I17" s="129">
        <f>SUM(C17:H17)</f>
        <v>63125</v>
      </c>
    </row>
    <row r="18" spans="1:11" ht="21.75" customHeight="1" thickBot="1">
      <c r="A18" s="277"/>
      <c r="B18" s="130" t="s">
        <v>27</v>
      </c>
      <c r="C18" s="131">
        <f>SUM(C16:C17)</f>
        <v>1433929</v>
      </c>
      <c r="D18" s="131">
        <f t="shared" ref="D18:I18" si="4">SUM(D16:D17)</f>
        <v>327855</v>
      </c>
      <c r="E18" s="131">
        <f t="shared" si="4"/>
        <v>5000</v>
      </c>
      <c r="F18" s="131">
        <f t="shared" si="4"/>
        <v>0</v>
      </c>
      <c r="G18" s="131">
        <f t="shared" si="4"/>
        <v>0</v>
      </c>
      <c r="H18" s="131">
        <f t="shared" si="4"/>
        <v>78105</v>
      </c>
      <c r="I18" s="169">
        <f t="shared" si="4"/>
        <v>1844889</v>
      </c>
    </row>
    <row r="19" spans="1:11" ht="21.75" customHeight="1">
      <c r="A19" s="276" t="s">
        <v>10</v>
      </c>
      <c r="B19" s="124" t="s">
        <v>34</v>
      </c>
      <c r="C19" s="125">
        <v>1434894</v>
      </c>
      <c r="D19" s="125">
        <f>283800-H19</f>
        <v>185855</v>
      </c>
      <c r="E19" s="125"/>
      <c r="F19" s="125"/>
      <c r="G19" s="125"/>
      <c r="H19" s="125">
        <f>80000+17945</f>
        <v>97945</v>
      </c>
      <c r="I19" s="132">
        <f>SUM(C19:H19)</f>
        <v>1718694</v>
      </c>
    </row>
    <row r="20" spans="1:11" ht="21.75" customHeight="1">
      <c r="A20" s="274"/>
      <c r="B20" s="127" t="s">
        <v>151</v>
      </c>
      <c r="C20" s="128">
        <v>31000</v>
      </c>
      <c r="D20" s="128"/>
      <c r="E20" s="128"/>
      <c r="F20" s="128"/>
      <c r="G20" s="128"/>
      <c r="H20" s="128"/>
      <c r="I20" s="129">
        <f>SUM(C20:H20)</f>
        <v>31000</v>
      </c>
    </row>
    <row r="21" spans="1:11" ht="21.75" customHeight="1" thickBot="1">
      <c r="A21" s="277"/>
      <c r="B21" s="130" t="s">
        <v>27</v>
      </c>
      <c r="C21" s="131">
        <f>SUM(C19:C20)</f>
        <v>1465894</v>
      </c>
      <c r="D21" s="131">
        <f t="shared" ref="D21:I21" si="5">SUM(D19:D20)</f>
        <v>185855</v>
      </c>
      <c r="E21" s="131">
        <f t="shared" si="5"/>
        <v>0</v>
      </c>
      <c r="F21" s="131">
        <f t="shared" si="5"/>
        <v>0</v>
      </c>
      <c r="G21" s="131">
        <f t="shared" si="5"/>
        <v>0</v>
      </c>
      <c r="H21" s="131">
        <f t="shared" si="5"/>
        <v>97945</v>
      </c>
      <c r="I21" s="169">
        <f t="shared" si="5"/>
        <v>1749694</v>
      </c>
      <c r="J21" s="133"/>
    </row>
    <row r="22" spans="1:11" ht="21.75" customHeight="1">
      <c r="A22" s="276" t="s">
        <v>28</v>
      </c>
      <c r="B22" s="124" t="s">
        <v>34</v>
      </c>
      <c r="C22" s="125">
        <v>1450907</v>
      </c>
      <c r="D22" s="125">
        <f>233000-H22</f>
        <v>173000</v>
      </c>
      <c r="E22" s="125">
        <v>1000</v>
      </c>
      <c r="F22" s="125"/>
      <c r="G22" s="125"/>
      <c r="H22" s="125">
        <v>60000</v>
      </c>
      <c r="I22" s="132">
        <f>SUM(C22:H22)</f>
        <v>1684907</v>
      </c>
      <c r="J22" s="133"/>
      <c r="K22" s="133"/>
    </row>
    <row r="23" spans="1:11" ht="21.75" customHeight="1">
      <c r="A23" s="274"/>
      <c r="B23" s="127" t="s">
        <v>151</v>
      </c>
      <c r="C23" s="128">
        <v>34000</v>
      </c>
      <c r="D23" s="128"/>
      <c r="E23" s="128"/>
      <c r="F23" s="128"/>
      <c r="G23" s="128"/>
      <c r="H23" s="128"/>
      <c r="I23" s="129">
        <f>SUM(C23:H23)</f>
        <v>34000</v>
      </c>
      <c r="J23" s="133"/>
      <c r="K23" s="133"/>
    </row>
    <row r="24" spans="1:11" ht="21.75" customHeight="1" thickBot="1">
      <c r="A24" s="277"/>
      <c r="B24" s="130" t="s">
        <v>27</v>
      </c>
      <c r="C24" s="131">
        <f>SUM(C22:C23)</f>
        <v>1484907</v>
      </c>
      <c r="D24" s="131">
        <f t="shared" ref="D24:I24" si="6">SUM(D22:D23)</f>
        <v>173000</v>
      </c>
      <c r="E24" s="131">
        <f t="shared" si="6"/>
        <v>1000</v>
      </c>
      <c r="F24" s="131">
        <f t="shared" si="6"/>
        <v>0</v>
      </c>
      <c r="G24" s="131">
        <f t="shared" si="6"/>
        <v>0</v>
      </c>
      <c r="H24" s="131">
        <f t="shared" si="6"/>
        <v>60000</v>
      </c>
      <c r="I24" s="169">
        <f t="shared" si="6"/>
        <v>1718907</v>
      </c>
      <c r="J24" s="133"/>
      <c r="K24" s="133"/>
    </row>
    <row r="25" spans="1:11" ht="21.75" customHeight="1">
      <c r="A25" s="276" t="s">
        <v>11</v>
      </c>
      <c r="B25" s="124" t="s">
        <v>34</v>
      </c>
      <c r="C25" s="125">
        <v>1453791</v>
      </c>
      <c r="D25" s="125">
        <f>199833-H25</f>
        <v>174833</v>
      </c>
      <c r="E25" s="125"/>
      <c r="F25" s="125"/>
      <c r="G25" s="125"/>
      <c r="H25" s="125">
        <v>25000</v>
      </c>
      <c r="I25" s="132">
        <f>SUM(C25:H25)</f>
        <v>1653624</v>
      </c>
      <c r="J25" s="133"/>
      <c r="K25" s="133"/>
    </row>
    <row r="26" spans="1:11" ht="21.75" customHeight="1">
      <c r="A26" s="274"/>
      <c r="B26" s="127" t="s">
        <v>151</v>
      </c>
      <c r="C26" s="128">
        <v>37500</v>
      </c>
      <c r="D26" s="128"/>
      <c r="E26" s="128"/>
      <c r="F26" s="128"/>
      <c r="G26" s="128"/>
      <c r="H26" s="128"/>
      <c r="I26" s="129">
        <f>SUM(C26:H26)</f>
        <v>37500</v>
      </c>
      <c r="J26" s="133"/>
      <c r="K26" s="133"/>
    </row>
    <row r="27" spans="1:11" ht="21.75" customHeight="1" thickBot="1">
      <c r="A27" s="277"/>
      <c r="B27" s="130" t="s">
        <v>27</v>
      </c>
      <c r="C27" s="131">
        <f>SUM(C25:C26)</f>
        <v>1491291</v>
      </c>
      <c r="D27" s="131">
        <f t="shared" ref="D27:I27" si="7">SUM(D25:D26)</f>
        <v>174833</v>
      </c>
      <c r="E27" s="131">
        <f t="shared" si="7"/>
        <v>0</v>
      </c>
      <c r="F27" s="131">
        <f t="shared" si="7"/>
        <v>0</v>
      </c>
      <c r="G27" s="131">
        <f t="shared" si="7"/>
        <v>0</v>
      </c>
      <c r="H27" s="131">
        <f t="shared" si="7"/>
        <v>25000</v>
      </c>
      <c r="I27" s="169">
        <f t="shared" si="7"/>
        <v>1691124</v>
      </c>
      <c r="J27" s="133"/>
      <c r="K27" s="133"/>
    </row>
    <row r="28" spans="1:11" ht="21.75" customHeight="1">
      <c r="A28" s="276" t="s">
        <v>12</v>
      </c>
      <c r="B28" s="124" t="s">
        <v>34</v>
      </c>
      <c r="C28" s="125">
        <v>1460208</v>
      </c>
      <c r="D28" s="125">
        <v>168416</v>
      </c>
      <c r="E28" s="125"/>
      <c r="F28" s="125"/>
      <c r="G28" s="125"/>
      <c r="H28" s="125"/>
      <c r="I28" s="132">
        <f>SUM(C28:H28)</f>
        <v>1628624</v>
      </c>
      <c r="J28" s="133"/>
      <c r="K28" s="133"/>
    </row>
    <row r="29" spans="1:11" ht="21.75" customHeight="1">
      <c r="A29" s="274"/>
      <c r="B29" s="127" t="s">
        <v>151</v>
      </c>
      <c r="C29" s="128">
        <v>43000</v>
      </c>
      <c r="D29" s="128">
        <v>5000</v>
      </c>
      <c r="E29" s="128"/>
      <c r="F29" s="128"/>
      <c r="G29" s="128"/>
      <c r="H29" s="128"/>
      <c r="I29" s="129">
        <f>SUM(C29:H29)</f>
        <v>48000</v>
      </c>
      <c r="J29" s="133"/>
      <c r="K29" s="133"/>
    </row>
    <row r="30" spans="1:11" ht="21.75" customHeight="1" thickBot="1">
      <c r="A30" s="277"/>
      <c r="B30" s="130" t="s">
        <v>27</v>
      </c>
      <c r="C30" s="131">
        <f>SUM(C28:C29)</f>
        <v>1503208</v>
      </c>
      <c r="D30" s="131">
        <f t="shared" ref="D30:I30" si="8">SUM(D28:D29)</f>
        <v>173416</v>
      </c>
      <c r="E30" s="131">
        <f t="shared" si="8"/>
        <v>0</v>
      </c>
      <c r="F30" s="131">
        <f t="shared" si="8"/>
        <v>0</v>
      </c>
      <c r="G30" s="131">
        <f t="shared" si="8"/>
        <v>0</v>
      </c>
      <c r="H30" s="131">
        <f t="shared" si="8"/>
        <v>0</v>
      </c>
      <c r="I30" s="169">
        <f t="shared" si="8"/>
        <v>1676624</v>
      </c>
      <c r="J30" s="133"/>
      <c r="K30" s="133"/>
    </row>
    <row r="31" spans="1:11" ht="21.75" customHeight="1">
      <c r="A31" s="273" t="s">
        <v>13</v>
      </c>
      <c r="B31" s="134" t="s">
        <v>34</v>
      </c>
      <c r="C31" s="135">
        <v>1535901</v>
      </c>
      <c r="D31" s="135">
        <v>99433</v>
      </c>
      <c r="E31" s="135"/>
      <c r="F31" s="135"/>
      <c r="G31" s="135"/>
      <c r="H31" s="135"/>
      <c r="I31" s="136">
        <f>SUM(C31:H31)</f>
        <v>1635334</v>
      </c>
      <c r="J31" s="133"/>
      <c r="K31" s="133"/>
    </row>
    <row r="32" spans="1:11" ht="21.75" customHeight="1">
      <c r="A32" s="274"/>
      <c r="B32" s="127" t="s">
        <v>151</v>
      </c>
      <c r="C32" s="128">
        <v>44770</v>
      </c>
      <c r="D32" s="128">
        <v>8000</v>
      </c>
      <c r="E32" s="128"/>
      <c r="F32" s="128"/>
      <c r="G32" s="128"/>
      <c r="H32" s="128"/>
      <c r="I32" s="136">
        <f>SUM(C32:H32)</f>
        <v>52770</v>
      </c>
      <c r="J32" s="133"/>
      <c r="K32" s="133"/>
    </row>
    <row r="33" spans="1:11" ht="21.75" customHeight="1" thickBot="1">
      <c r="A33" s="275"/>
      <c r="B33" s="137" t="s">
        <v>27</v>
      </c>
      <c r="C33" s="138">
        <f>SUM(C31:C32)</f>
        <v>1580671</v>
      </c>
      <c r="D33" s="138">
        <f t="shared" ref="D33:I33" si="9">SUM(D31:D32)</f>
        <v>107433</v>
      </c>
      <c r="E33" s="138">
        <f t="shared" si="9"/>
        <v>0</v>
      </c>
      <c r="F33" s="138">
        <f t="shared" si="9"/>
        <v>0</v>
      </c>
      <c r="G33" s="138">
        <f t="shared" si="9"/>
        <v>0</v>
      </c>
      <c r="H33" s="138">
        <f t="shared" si="9"/>
        <v>0</v>
      </c>
      <c r="I33" s="170">
        <f t="shared" si="9"/>
        <v>1688104</v>
      </c>
      <c r="J33" s="133"/>
      <c r="K33" s="133"/>
    </row>
    <row r="34" spans="1:11" ht="21.75" customHeight="1">
      <c r="A34" s="276" t="s">
        <v>14</v>
      </c>
      <c r="B34" s="124" t="s">
        <v>34</v>
      </c>
      <c r="C34" s="125">
        <v>1544793</v>
      </c>
      <c r="D34" s="125">
        <v>84391</v>
      </c>
      <c r="E34" s="125"/>
      <c r="F34" s="125"/>
      <c r="G34" s="125"/>
      <c r="H34" s="125"/>
      <c r="I34" s="132">
        <f>SUM(C34:H34)</f>
        <v>1629184</v>
      </c>
      <c r="J34" s="133"/>
      <c r="K34" s="133"/>
    </row>
    <row r="35" spans="1:11" ht="21.75" customHeight="1">
      <c r="A35" s="274"/>
      <c r="B35" s="127" t="s">
        <v>151</v>
      </c>
      <c r="C35" s="128">
        <v>37070</v>
      </c>
      <c r="D35" s="128">
        <v>8000</v>
      </c>
      <c r="E35" s="128"/>
      <c r="F35" s="128"/>
      <c r="G35" s="128"/>
      <c r="H35" s="128"/>
      <c r="I35" s="129">
        <f>SUM(C35:H35)</f>
        <v>45070</v>
      </c>
      <c r="J35" s="133"/>
      <c r="K35" s="133"/>
    </row>
    <row r="36" spans="1:11" ht="21.75" customHeight="1" thickBot="1">
      <c r="A36" s="277"/>
      <c r="B36" s="130" t="s">
        <v>27</v>
      </c>
      <c r="C36" s="131">
        <f>SUM(C34:C35)</f>
        <v>1581863</v>
      </c>
      <c r="D36" s="131">
        <f t="shared" ref="D36:I36" si="10">SUM(D34:D35)</f>
        <v>92391</v>
      </c>
      <c r="E36" s="131">
        <f t="shared" si="10"/>
        <v>0</v>
      </c>
      <c r="F36" s="131">
        <f t="shared" si="10"/>
        <v>0</v>
      </c>
      <c r="G36" s="131">
        <f t="shared" si="10"/>
        <v>0</v>
      </c>
      <c r="H36" s="131">
        <f t="shared" si="10"/>
        <v>0</v>
      </c>
      <c r="I36" s="169">
        <f t="shared" si="10"/>
        <v>1674254</v>
      </c>
      <c r="J36" s="133"/>
      <c r="K36" s="133"/>
    </row>
    <row r="37" spans="1:11" ht="21.75" customHeight="1">
      <c r="A37" s="273" t="s">
        <v>15</v>
      </c>
      <c r="B37" s="134" t="s">
        <v>34</v>
      </c>
      <c r="C37" s="135">
        <v>1559364</v>
      </c>
      <c r="D37" s="135">
        <v>77942</v>
      </c>
      <c r="E37" s="135"/>
      <c r="F37" s="135"/>
      <c r="G37" s="135"/>
      <c r="H37" s="135"/>
      <c r="I37" s="136">
        <f>SUM(C37:H37)</f>
        <v>1637306</v>
      </c>
      <c r="J37" s="133"/>
      <c r="K37" s="133"/>
    </row>
    <row r="38" spans="1:11" ht="21.75" customHeight="1">
      <c r="A38" s="274"/>
      <c r="B38" s="127" t="s">
        <v>151</v>
      </c>
      <c r="C38" s="128">
        <v>37070</v>
      </c>
      <c r="D38" s="128">
        <v>8000</v>
      </c>
      <c r="E38" s="128"/>
      <c r="F38" s="128"/>
      <c r="G38" s="128"/>
      <c r="H38" s="128"/>
      <c r="I38" s="136">
        <f>SUM(C38:H38)</f>
        <v>45070</v>
      </c>
      <c r="J38" s="133"/>
      <c r="K38" s="133"/>
    </row>
    <row r="39" spans="1:11" ht="21.75" customHeight="1" thickBot="1">
      <c r="A39" s="277"/>
      <c r="B39" s="130" t="s">
        <v>27</v>
      </c>
      <c r="C39" s="131">
        <f>SUM(C37:C38)</f>
        <v>1596434</v>
      </c>
      <c r="D39" s="131">
        <f t="shared" ref="D39:I39" si="11">SUM(D37:D38)</f>
        <v>85942</v>
      </c>
      <c r="E39" s="131">
        <f t="shared" si="11"/>
        <v>0</v>
      </c>
      <c r="F39" s="131">
        <f t="shared" si="11"/>
        <v>0</v>
      </c>
      <c r="G39" s="131">
        <f t="shared" si="11"/>
        <v>0</v>
      </c>
      <c r="H39" s="131">
        <f t="shared" si="11"/>
        <v>0</v>
      </c>
      <c r="I39" s="169">
        <f t="shared" si="11"/>
        <v>1682376</v>
      </c>
      <c r="J39" s="133"/>
      <c r="K39" s="133"/>
    </row>
    <row r="40" spans="1:11" ht="21.75" customHeight="1">
      <c r="A40" s="273" t="s">
        <v>152</v>
      </c>
      <c r="B40" s="134" t="s">
        <v>34</v>
      </c>
      <c r="C40" s="135">
        <v>1540585</v>
      </c>
      <c r="D40" s="135">
        <v>74045</v>
      </c>
      <c r="E40" s="135"/>
      <c r="F40" s="135"/>
      <c r="G40" s="135"/>
      <c r="H40" s="135"/>
      <c r="I40" s="136">
        <f>SUM(C40:H40)</f>
        <v>1614630</v>
      </c>
      <c r="J40" s="133"/>
      <c r="K40" s="133"/>
    </row>
    <row r="41" spans="1:11" ht="21.75" customHeight="1">
      <c r="A41" s="274"/>
      <c r="B41" s="127" t="s">
        <v>151</v>
      </c>
      <c r="C41" s="128">
        <v>37070</v>
      </c>
      <c r="D41" s="128">
        <v>7600</v>
      </c>
      <c r="E41" s="128"/>
      <c r="F41" s="128"/>
      <c r="G41" s="128"/>
      <c r="H41" s="128"/>
      <c r="I41" s="136">
        <f>SUM(C41:H41)</f>
        <v>44670</v>
      </c>
      <c r="J41" s="133"/>
      <c r="K41" s="133"/>
    </row>
    <row r="42" spans="1:11" ht="21.75" customHeight="1" thickBot="1">
      <c r="A42" s="277"/>
      <c r="B42" s="130" t="s">
        <v>27</v>
      </c>
      <c r="C42" s="131">
        <f t="shared" ref="C42:I42" si="12">SUM(C40:C41)</f>
        <v>1577655</v>
      </c>
      <c r="D42" s="131">
        <f t="shared" si="12"/>
        <v>81645</v>
      </c>
      <c r="E42" s="131">
        <f t="shared" si="12"/>
        <v>0</v>
      </c>
      <c r="F42" s="131">
        <f t="shared" si="12"/>
        <v>0</v>
      </c>
      <c r="G42" s="131">
        <f t="shared" si="12"/>
        <v>0</v>
      </c>
      <c r="H42" s="131">
        <f t="shared" si="12"/>
        <v>0</v>
      </c>
      <c r="I42" s="169">
        <f t="shared" si="12"/>
        <v>1659300</v>
      </c>
      <c r="J42" s="133"/>
      <c r="K42" s="133"/>
    </row>
    <row r="43" spans="1:11" ht="21.75" customHeight="1">
      <c r="A43" s="273" t="s">
        <v>153</v>
      </c>
      <c r="B43" s="134" t="s">
        <v>34</v>
      </c>
      <c r="C43" s="135">
        <v>1542979</v>
      </c>
      <c r="D43" s="135">
        <v>74671</v>
      </c>
      <c r="E43" s="135"/>
      <c r="F43" s="135"/>
      <c r="G43" s="135">
        <v>8000</v>
      </c>
      <c r="H43" s="135">
        <v>265599</v>
      </c>
      <c r="I43" s="136">
        <f>SUM(C43:H43)</f>
        <v>1891249</v>
      </c>
      <c r="J43" s="133"/>
      <c r="K43" s="133"/>
    </row>
    <row r="44" spans="1:11" ht="21.75" customHeight="1">
      <c r="A44" s="274"/>
      <c r="B44" s="127" t="s">
        <v>151</v>
      </c>
      <c r="C44" s="128">
        <v>37070</v>
      </c>
      <c r="D44" s="128">
        <v>8000</v>
      </c>
      <c r="E44" s="128"/>
      <c r="F44" s="128"/>
      <c r="G44" s="128"/>
      <c r="H44" s="128"/>
      <c r="I44" s="136">
        <f>SUM(C44:H44)</f>
        <v>45070</v>
      </c>
      <c r="J44" s="133"/>
      <c r="K44" s="133"/>
    </row>
    <row r="45" spans="1:11" ht="21.75" customHeight="1" thickBot="1">
      <c r="A45" s="277"/>
      <c r="B45" s="130" t="s">
        <v>27</v>
      </c>
      <c r="C45" s="131">
        <f t="shared" ref="C45:I45" si="13">SUM(C43:C44)</f>
        <v>1580049</v>
      </c>
      <c r="D45" s="131">
        <f t="shared" si="13"/>
        <v>82671</v>
      </c>
      <c r="E45" s="131">
        <f t="shared" si="13"/>
        <v>0</v>
      </c>
      <c r="F45" s="131">
        <f t="shared" si="13"/>
        <v>0</v>
      </c>
      <c r="G45" s="131">
        <f t="shared" si="13"/>
        <v>8000</v>
      </c>
      <c r="H45" s="131">
        <f t="shared" si="13"/>
        <v>265599</v>
      </c>
      <c r="I45" s="169">
        <f t="shared" si="13"/>
        <v>1936319</v>
      </c>
      <c r="J45" s="133"/>
      <c r="K45" s="133"/>
    </row>
    <row r="46" spans="1:11" ht="21.75" customHeight="1">
      <c r="A46" s="280" t="s">
        <v>154</v>
      </c>
      <c r="B46" s="134" t="s">
        <v>34</v>
      </c>
      <c r="C46" s="135">
        <v>1557737</v>
      </c>
      <c r="D46" s="135">
        <v>74671</v>
      </c>
      <c r="E46" s="135"/>
      <c r="F46" s="135"/>
      <c r="G46" s="135"/>
      <c r="H46" s="135">
        <v>183801</v>
      </c>
      <c r="I46" s="136">
        <f>SUM(C46:H46)</f>
        <v>1816209</v>
      </c>
      <c r="J46" s="133"/>
      <c r="K46" s="133"/>
    </row>
    <row r="47" spans="1:11" ht="21.75" customHeight="1">
      <c r="A47" s="281"/>
      <c r="B47" s="127" t="s">
        <v>151</v>
      </c>
      <c r="C47" s="128">
        <v>37070</v>
      </c>
      <c r="D47" s="128">
        <v>8000</v>
      </c>
      <c r="E47" s="128"/>
      <c r="F47" s="128"/>
      <c r="G47" s="128"/>
      <c r="H47" s="128"/>
      <c r="I47" s="136">
        <f>SUM(C47:H47)</f>
        <v>45070</v>
      </c>
      <c r="J47" s="133"/>
      <c r="K47" s="133"/>
    </row>
    <row r="48" spans="1:11" ht="21.75" customHeight="1" thickBot="1">
      <c r="A48" s="282"/>
      <c r="B48" s="130" t="s">
        <v>27</v>
      </c>
      <c r="C48" s="131">
        <f t="shared" ref="C48:I48" si="14">SUM(C46:C47)</f>
        <v>1594807</v>
      </c>
      <c r="D48" s="131">
        <f t="shared" si="14"/>
        <v>82671</v>
      </c>
      <c r="E48" s="131">
        <f t="shared" si="14"/>
        <v>0</v>
      </c>
      <c r="F48" s="131">
        <f t="shared" si="14"/>
        <v>0</v>
      </c>
      <c r="G48" s="131">
        <f t="shared" si="14"/>
        <v>0</v>
      </c>
      <c r="H48" s="131">
        <f t="shared" si="14"/>
        <v>183801</v>
      </c>
      <c r="I48" s="169">
        <f t="shared" si="14"/>
        <v>1861279</v>
      </c>
      <c r="J48" s="133"/>
      <c r="K48" s="133"/>
    </row>
    <row r="49" spans="1:11" ht="21.75" hidden="1" customHeight="1">
      <c r="A49" s="280" t="s">
        <v>155</v>
      </c>
      <c r="B49" s="134" t="s">
        <v>34</v>
      </c>
      <c r="C49" s="135">
        <v>1554902</v>
      </c>
      <c r="D49" s="135">
        <v>75830</v>
      </c>
      <c r="E49" s="135"/>
      <c r="F49" s="135"/>
      <c r="G49" s="135"/>
      <c r="H49" s="135">
        <v>50600</v>
      </c>
      <c r="I49" s="136">
        <f>SUM(C49:H49)</f>
        <v>1681332</v>
      </c>
      <c r="J49" s="133"/>
      <c r="K49" s="133"/>
    </row>
    <row r="50" spans="1:11" ht="21.75" hidden="1" customHeight="1">
      <c r="A50" s="281"/>
      <c r="B50" s="127" t="s">
        <v>151</v>
      </c>
      <c r="C50" s="128">
        <v>37070</v>
      </c>
      <c r="D50" s="128">
        <v>8000</v>
      </c>
      <c r="E50" s="128"/>
      <c r="F50" s="128"/>
      <c r="G50" s="128"/>
      <c r="H50" s="128"/>
      <c r="I50" s="136">
        <f>SUM(C50:H50)</f>
        <v>45070</v>
      </c>
      <c r="J50" s="133"/>
      <c r="K50" s="133"/>
    </row>
    <row r="51" spans="1:11" ht="21.75" hidden="1" customHeight="1" thickBot="1">
      <c r="A51" s="282"/>
      <c r="B51" s="130" t="s">
        <v>27</v>
      </c>
      <c r="C51" s="131">
        <f t="shared" ref="C51:I51" si="15">SUM(C49:C50)</f>
        <v>1591972</v>
      </c>
      <c r="D51" s="131">
        <f t="shared" si="15"/>
        <v>83830</v>
      </c>
      <c r="E51" s="131">
        <f t="shared" si="15"/>
        <v>0</v>
      </c>
      <c r="F51" s="131">
        <f t="shared" si="15"/>
        <v>0</v>
      </c>
      <c r="G51" s="131">
        <f t="shared" si="15"/>
        <v>0</v>
      </c>
      <c r="H51" s="131">
        <f t="shared" si="15"/>
        <v>50600</v>
      </c>
      <c r="I51" s="169">
        <f t="shared" si="15"/>
        <v>1726402</v>
      </c>
      <c r="J51" s="133"/>
      <c r="K51" s="133"/>
    </row>
    <row r="52" spans="1:11" ht="21.75" customHeight="1">
      <c r="A52" s="280" t="s">
        <v>156</v>
      </c>
      <c r="B52" s="134" t="s">
        <v>34</v>
      </c>
      <c r="C52" s="135">
        <v>1554902</v>
      </c>
      <c r="D52" s="135">
        <v>75830</v>
      </c>
      <c r="E52" s="135"/>
      <c r="F52" s="135"/>
      <c r="G52" s="135"/>
      <c r="H52" s="135">
        <v>50600</v>
      </c>
      <c r="I52" s="136">
        <f>SUM(C52:H52)</f>
        <v>1681332</v>
      </c>
      <c r="J52" s="133"/>
      <c r="K52" s="133"/>
    </row>
    <row r="53" spans="1:11" ht="21.75" customHeight="1">
      <c r="A53" s="281"/>
      <c r="B53" s="127" t="s">
        <v>151</v>
      </c>
      <c r="C53" s="128">
        <v>37070</v>
      </c>
      <c r="D53" s="128">
        <v>8000</v>
      </c>
      <c r="E53" s="128"/>
      <c r="F53" s="128"/>
      <c r="G53" s="128"/>
      <c r="H53" s="128"/>
      <c r="I53" s="136">
        <f>SUM(C53:H53)</f>
        <v>45070</v>
      </c>
      <c r="J53" s="133"/>
      <c r="K53" s="133"/>
    </row>
    <row r="54" spans="1:11" ht="21.75" customHeight="1" thickBot="1">
      <c r="A54" s="282"/>
      <c r="B54" s="130" t="s">
        <v>27</v>
      </c>
      <c r="C54" s="131">
        <f t="shared" ref="C54:I54" si="16">SUM(C52:C53)</f>
        <v>1591972</v>
      </c>
      <c r="D54" s="131">
        <f t="shared" si="16"/>
        <v>83830</v>
      </c>
      <c r="E54" s="131">
        <f t="shared" si="16"/>
        <v>0</v>
      </c>
      <c r="F54" s="131">
        <f t="shared" si="16"/>
        <v>0</v>
      </c>
      <c r="G54" s="131">
        <f t="shared" si="16"/>
        <v>0</v>
      </c>
      <c r="H54" s="131">
        <f t="shared" si="16"/>
        <v>50600</v>
      </c>
      <c r="I54" s="169">
        <f t="shared" si="16"/>
        <v>1726402</v>
      </c>
      <c r="J54" s="133"/>
      <c r="K54" s="133"/>
    </row>
    <row r="55" spans="1:11" ht="21.75" customHeight="1">
      <c r="A55" s="280" t="s">
        <v>157</v>
      </c>
      <c r="B55" s="134" t="s">
        <v>34</v>
      </c>
      <c r="C55" s="135">
        <v>1547982</v>
      </c>
      <c r="D55" s="135">
        <v>73830</v>
      </c>
      <c r="E55" s="135">
        <v>2000</v>
      </c>
      <c r="F55" s="135"/>
      <c r="G55" s="135"/>
      <c r="H55" s="135"/>
      <c r="I55" s="136">
        <f>SUM(C55:H55)</f>
        <v>1623812</v>
      </c>
      <c r="J55" s="133"/>
      <c r="K55" s="133"/>
    </row>
    <row r="56" spans="1:11" ht="21.75" customHeight="1">
      <c r="A56" s="281"/>
      <c r="B56" s="127" t="s">
        <v>151</v>
      </c>
      <c r="C56" s="128">
        <v>37070</v>
      </c>
      <c r="D56" s="128">
        <v>8000</v>
      </c>
      <c r="E56" s="128"/>
      <c r="F56" s="128"/>
      <c r="G56" s="128"/>
      <c r="H56" s="128"/>
      <c r="I56" s="136">
        <f>SUM(C56:H56)</f>
        <v>45070</v>
      </c>
      <c r="J56" s="133"/>
      <c r="K56" s="133"/>
    </row>
    <row r="57" spans="1:11" ht="21.75" customHeight="1" thickBot="1">
      <c r="A57" s="282"/>
      <c r="B57" s="130" t="s">
        <v>27</v>
      </c>
      <c r="C57" s="131">
        <f t="shared" ref="C57:I57" si="17">SUM(C55:C56)</f>
        <v>1585052</v>
      </c>
      <c r="D57" s="131">
        <f t="shared" si="17"/>
        <v>81830</v>
      </c>
      <c r="E57" s="131">
        <f t="shared" si="17"/>
        <v>2000</v>
      </c>
      <c r="F57" s="131">
        <f t="shared" si="17"/>
        <v>0</v>
      </c>
      <c r="G57" s="131">
        <f t="shared" si="17"/>
        <v>0</v>
      </c>
      <c r="H57" s="131">
        <f t="shared" si="17"/>
        <v>0</v>
      </c>
      <c r="I57" s="169">
        <f t="shared" si="17"/>
        <v>1668882</v>
      </c>
      <c r="J57" s="133"/>
      <c r="K57" s="133"/>
    </row>
    <row r="58" spans="1:11" ht="21.75" customHeight="1">
      <c r="A58" s="280" t="s">
        <v>158</v>
      </c>
      <c r="B58" s="134" t="s">
        <v>34</v>
      </c>
      <c r="C58" s="135">
        <v>1584183</v>
      </c>
      <c r="D58" s="135">
        <v>79750</v>
      </c>
      <c r="E58" s="135"/>
      <c r="F58" s="135"/>
      <c r="G58" s="135"/>
      <c r="H58" s="135"/>
      <c r="I58" s="136">
        <f>SUM(C58:H58)</f>
        <v>1663933</v>
      </c>
      <c r="J58" s="133"/>
      <c r="K58" s="133"/>
    </row>
    <row r="59" spans="1:11" ht="21.75" customHeight="1">
      <c r="A59" s="281"/>
      <c r="B59" s="127" t="s">
        <v>151</v>
      </c>
      <c r="C59" s="128">
        <v>37941</v>
      </c>
      <c r="D59" s="128">
        <v>7264</v>
      </c>
      <c r="E59" s="128"/>
      <c r="F59" s="128"/>
      <c r="G59" s="128"/>
      <c r="H59" s="128"/>
      <c r="I59" s="136">
        <f>SUM(C59:H59)</f>
        <v>45205</v>
      </c>
      <c r="J59" s="133"/>
      <c r="K59" s="133"/>
    </row>
    <row r="60" spans="1:11" ht="21.75" customHeight="1" thickBot="1">
      <c r="A60" s="282"/>
      <c r="B60" s="130" t="s">
        <v>27</v>
      </c>
      <c r="C60" s="131">
        <f t="shared" ref="C60:I60" si="18">SUM(C58:C59)</f>
        <v>1622124</v>
      </c>
      <c r="D60" s="131">
        <f t="shared" si="18"/>
        <v>87014</v>
      </c>
      <c r="E60" s="131">
        <f t="shared" si="18"/>
        <v>0</v>
      </c>
      <c r="F60" s="131">
        <f t="shared" si="18"/>
        <v>0</v>
      </c>
      <c r="G60" s="131">
        <f t="shared" si="18"/>
        <v>0</v>
      </c>
      <c r="H60" s="131">
        <f t="shared" si="18"/>
        <v>0</v>
      </c>
      <c r="I60" s="169">
        <f t="shared" si="18"/>
        <v>1709138</v>
      </c>
      <c r="J60" s="133"/>
      <c r="K60" s="133"/>
    </row>
    <row r="61" spans="1:11" ht="16.5">
      <c r="A61" s="280" t="s">
        <v>174</v>
      </c>
      <c r="B61" s="134" t="s">
        <v>34</v>
      </c>
      <c r="C61" s="135">
        <v>1617092</v>
      </c>
      <c r="D61" s="135">
        <v>72038</v>
      </c>
      <c r="E61" s="135"/>
      <c r="F61" s="135"/>
      <c r="G61" s="135"/>
      <c r="H61" s="135"/>
      <c r="I61" s="136">
        <f>SUM(C61:H61)</f>
        <v>1689130</v>
      </c>
    </row>
    <row r="62" spans="1:11" ht="16.5">
      <c r="A62" s="281"/>
      <c r="B62" s="127" t="s">
        <v>35</v>
      </c>
      <c r="C62" s="128">
        <v>37941</v>
      </c>
      <c r="D62" s="128">
        <v>7600</v>
      </c>
      <c r="E62" s="128"/>
      <c r="F62" s="128"/>
      <c r="G62" s="128"/>
      <c r="H62" s="128"/>
      <c r="I62" s="136">
        <f>SUM(C62:H62)</f>
        <v>45541</v>
      </c>
    </row>
    <row r="63" spans="1:11" ht="17.25" thickBot="1">
      <c r="A63" s="282"/>
      <c r="B63" s="130" t="s">
        <v>27</v>
      </c>
      <c r="C63" s="131">
        <f t="shared" ref="C63:I63" si="19">SUM(C61:C62)</f>
        <v>1655033</v>
      </c>
      <c r="D63" s="131">
        <f t="shared" si="19"/>
        <v>79638</v>
      </c>
      <c r="E63" s="131">
        <f t="shared" si="19"/>
        <v>0</v>
      </c>
      <c r="F63" s="131">
        <f t="shared" si="19"/>
        <v>0</v>
      </c>
      <c r="G63" s="131">
        <f t="shared" si="19"/>
        <v>0</v>
      </c>
      <c r="H63" s="131">
        <f t="shared" si="19"/>
        <v>0</v>
      </c>
      <c r="I63" s="169">
        <f t="shared" si="19"/>
        <v>1734671</v>
      </c>
    </row>
    <row r="64" spans="1:11" ht="16.5">
      <c r="A64" s="280" t="s">
        <v>179</v>
      </c>
      <c r="B64" s="134" t="s">
        <v>34</v>
      </c>
      <c r="C64" s="135">
        <v>1598058</v>
      </c>
      <c r="D64" s="135">
        <v>75830</v>
      </c>
      <c r="E64" s="135"/>
      <c r="F64" s="135"/>
      <c r="G64" s="135"/>
      <c r="H64" s="135"/>
      <c r="I64" s="136">
        <f>SUM(C64:H64)</f>
        <v>1673888</v>
      </c>
    </row>
    <row r="65" spans="1:9" ht="16.5">
      <c r="A65" s="281"/>
      <c r="B65" s="127" t="s">
        <v>35</v>
      </c>
      <c r="C65" s="128">
        <v>37541</v>
      </c>
      <c r="D65" s="128">
        <v>8000</v>
      </c>
      <c r="E65" s="128"/>
      <c r="F65" s="128"/>
      <c r="G65" s="128"/>
      <c r="H65" s="128"/>
      <c r="I65" s="136">
        <f>SUM(C65:H65)</f>
        <v>45541</v>
      </c>
    </row>
    <row r="66" spans="1:9" ht="17.25" thickBot="1">
      <c r="A66" s="282"/>
      <c r="B66" s="130" t="s">
        <v>27</v>
      </c>
      <c r="C66" s="131">
        <f t="shared" ref="C66:I66" si="20">SUM(C64:C65)</f>
        <v>1635599</v>
      </c>
      <c r="D66" s="131">
        <f t="shared" si="20"/>
        <v>83830</v>
      </c>
      <c r="E66" s="131">
        <f t="shared" si="20"/>
        <v>0</v>
      </c>
      <c r="F66" s="131">
        <f t="shared" si="20"/>
        <v>0</v>
      </c>
      <c r="G66" s="131">
        <f t="shared" si="20"/>
        <v>0</v>
      </c>
      <c r="H66" s="131">
        <f t="shared" si="20"/>
        <v>0</v>
      </c>
      <c r="I66" s="169">
        <f t="shared" si="20"/>
        <v>1719429</v>
      </c>
    </row>
    <row r="67" spans="1:9" ht="16.5">
      <c r="A67" s="280" t="s">
        <v>184</v>
      </c>
      <c r="B67" s="134" t="s">
        <v>34</v>
      </c>
      <c r="C67" s="135">
        <v>1598058</v>
      </c>
      <c r="D67" s="135">
        <v>75830</v>
      </c>
      <c r="E67" s="135"/>
      <c r="F67" s="135"/>
      <c r="G67" s="135"/>
      <c r="H67" s="135"/>
      <c r="I67" s="136">
        <f>SUM(C67:H67)</f>
        <v>1673888</v>
      </c>
    </row>
    <row r="68" spans="1:9" ht="16.5">
      <c r="A68" s="281"/>
      <c r="B68" s="127" t="s">
        <v>35</v>
      </c>
      <c r="C68" s="128">
        <v>37541</v>
      </c>
      <c r="D68" s="128">
        <v>8000</v>
      </c>
      <c r="E68" s="128"/>
      <c r="F68" s="128"/>
      <c r="G68" s="128"/>
      <c r="H68" s="128"/>
      <c r="I68" s="136">
        <f>SUM(C68:H68)</f>
        <v>45541</v>
      </c>
    </row>
    <row r="69" spans="1:9" ht="17.25" thickBot="1">
      <c r="A69" s="282"/>
      <c r="B69" s="130" t="s">
        <v>27</v>
      </c>
      <c r="C69" s="131">
        <f t="shared" ref="C69:I69" si="21">SUM(C67:C68)</f>
        <v>1635599</v>
      </c>
      <c r="D69" s="131">
        <f t="shared" si="21"/>
        <v>83830</v>
      </c>
      <c r="E69" s="131">
        <f t="shared" si="21"/>
        <v>0</v>
      </c>
      <c r="F69" s="131">
        <f t="shared" si="21"/>
        <v>0</v>
      </c>
      <c r="G69" s="131">
        <f t="shared" si="21"/>
        <v>0</v>
      </c>
      <c r="H69" s="131">
        <f t="shared" si="21"/>
        <v>0</v>
      </c>
      <c r="I69" s="169">
        <f t="shared" si="21"/>
        <v>1719429</v>
      </c>
    </row>
    <row r="70" spans="1:9" ht="16.5">
      <c r="A70" s="280" t="s">
        <v>190</v>
      </c>
      <c r="B70" s="134" t="s">
        <v>34</v>
      </c>
      <c r="C70" s="135">
        <v>1655378</v>
      </c>
      <c r="D70" s="135">
        <v>75830</v>
      </c>
      <c r="E70" s="135"/>
      <c r="F70" s="135"/>
      <c r="G70" s="135"/>
      <c r="H70" s="135"/>
      <c r="I70" s="136">
        <f>SUM(C70:H70)</f>
        <v>1731208</v>
      </c>
    </row>
    <row r="71" spans="1:9" ht="16.5">
      <c r="A71" s="281"/>
      <c r="B71" s="127" t="s">
        <v>35</v>
      </c>
      <c r="C71" s="128">
        <v>38569</v>
      </c>
      <c r="D71" s="128">
        <v>8000</v>
      </c>
      <c r="E71" s="128"/>
      <c r="F71" s="128"/>
      <c r="G71" s="128"/>
      <c r="H71" s="128"/>
      <c r="I71" s="136">
        <f>SUM(C71:H71)</f>
        <v>46569</v>
      </c>
    </row>
    <row r="72" spans="1:9" ht="17.25" thickBot="1">
      <c r="A72" s="282"/>
      <c r="B72" s="130" t="s">
        <v>27</v>
      </c>
      <c r="C72" s="131">
        <f t="shared" ref="C72:I72" si="22">SUM(C70:C71)</f>
        <v>1693947</v>
      </c>
      <c r="D72" s="131">
        <f t="shared" si="22"/>
        <v>83830</v>
      </c>
      <c r="E72" s="131">
        <f t="shared" si="22"/>
        <v>0</v>
      </c>
      <c r="F72" s="131">
        <f t="shared" si="22"/>
        <v>0</v>
      </c>
      <c r="G72" s="131">
        <f t="shared" si="22"/>
        <v>0</v>
      </c>
      <c r="H72" s="131">
        <f t="shared" si="22"/>
        <v>0</v>
      </c>
      <c r="I72" s="169">
        <f t="shared" si="22"/>
        <v>1777777</v>
      </c>
    </row>
    <row r="73" spans="1:9" ht="16.5">
      <c r="A73" s="280" t="s">
        <v>194</v>
      </c>
      <c r="B73" s="134" t="s">
        <v>34</v>
      </c>
      <c r="C73" s="135">
        <v>1652678</v>
      </c>
      <c r="D73" s="135">
        <v>75830</v>
      </c>
      <c r="E73" s="135"/>
      <c r="F73" s="135"/>
      <c r="G73" s="135"/>
      <c r="H73" s="135">
        <f>219061+42677</f>
        <v>261738</v>
      </c>
      <c r="I73" s="136">
        <f>SUM(C73:H73)</f>
        <v>1990246</v>
      </c>
    </row>
    <row r="74" spans="1:9" ht="16.5">
      <c r="A74" s="281"/>
      <c r="B74" s="127" t="s">
        <v>35</v>
      </c>
      <c r="C74" s="128">
        <f>38569+8125</f>
        <v>46694</v>
      </c>
      <c r="D74" s="128">
        <v>8000</v>
      </c>
      <c r="E74" s="128"/>
      <c r="F74" s="128"/>
      <c r="G74" s="128"/>
      <c r="H74" s="128">
        <v>2161</v>
      </c>
      <c r="I74" s="136">
        <f>SUM(C74:H74)</f>
        <v>56855</v>
      </c>
    </row>
    <row r="75" spans="1:9" ht="17.25" thickBot="1">
      <c r="A75" s="282"/>
      <c r="B75" s="130" t="s">
        <v>27</v>
      </c>
      <c r="C75" s="131">
        <f t="shared" ref="C75:I75" si="23">SUM(C73:C74)</f>
        <v>1699372</v>
      </c>
      <c r="D75" s="131">
        <f t="shared" si="23"/>
        <v>83830</v>
      </c>
      <c r="E75" s="131">
        <f t="shared" si="23"/>
        <v>0</v>
      </c>
      <c r="F75" s="131">
        <f t="shared" si="23"/>
        <v>0</v>
      </c>
      <c r="G75" s="131">
        <f t="shared" si="23"/>
        <v>0</v>
      </c>
      <c r="H75" s="131">
        <f t="shared" si="23"/>
        <v>263899</v>
      </c>
      <c r="I75" s="169">
        <f t="shared" si="23"/>
        <v>2047101</v>
      </c>
    </row>
    <row r="76" spans="1:9" ht="16.5">
      <c r="A76" s="280" t="s">
        <v>203</v>
      </c>
      <c r="B76" s="134" t="s">
        <v>34</v>
      </c>
      <c r="C76" s="135">
        <v>1830264</v>
      </c>
      <c r="D76" s="135">
        <v>75830</v>
      </c>
      <c r="E76" s="135"/>
      <c r="F76" s="135"/>
      <c r="G76" s="135"/>
      <c r="H76" s="135">
        <f>650939+104583</f>
        <v>755522</v>
      </c>
      <c r="I76" s="136">
        <f>SUM(C76:H76)</f>
        <v>2661616</v>
      </c>
    </row>
    <row r="77" spans="1:9" ht="16.5">
      <c r="A77" s="281"/>
      <c r="B77" s="127" t="s">
        <v>35</v>
      </c>
      <c r="C77" s="128">
        <v>47456</v>
      </c>
      <c r="D77" s="128">
        <v>8000</v>
      </c>
      <c r="E77" s="128"/>
      <c r="F77" s="128"/>
      <c r="G77" s="128"/>
      <c r="H77" s="128">
        <v>14555</v>
      </c>
      <c r="I77" s="136">
        <f>SUM(C77:H77)</f>
        <v>70011</v>
      </c>
    </row>
    <row r="78" spans="1:9" ht="17.25" thickBot="1">
      <c r="A78" s="282"/>
      <c r="B78" s="130" t="s">
        <v>27</v>
      </c>
      <c r="C78" s="131">
        <f t="shared" ref="C78:I78" si="24">SUM(C76:C77)</f>
        <v>1877720</v>
      </c>
      <c r="D78" s="131">
        <f t="shared" si="24"/>
        <v>83830</v>
      </c>
      <c r="E78" s="131">
        <f t="shared" si="24"/>
        <v>0</v>
      </c>
      <c r="F78" s="131">
        <f t="shared" si="24"/>
        <v>0</v>
      </c>
      <c r="G78" s="131">
        <f t="shared" si="24"/>
        <v>0</v>
      </c>
      <c r="H78" s="131">
        <f t="shared" si="24"/>
        <v>770077</v>
      </c>
      <c r="I78" s="169">
        <f t="shared" si="24"/>
        <v>2731627</v>
      </c>
    </row>
  </sheetData>
  <mergeCells count="26">
    <mergeCell ref="A76:A78"/>
    <mergeCell ref="A70:A72"/>
    <mergeCell ref="A67:A69"/>
    <mergeCell ref="A37:A39"/>
    <mergeCell ref="A64:A66"/>
    <mergeCell ref="A61:A63"/>
    <mergeCell ref="A58:A60"/>
    <mergeCell ref="A55:A57"/>
    <mergeCell ref="A52:A54"/>
    <mergeCell ref="A49:A51"/>
    <mergeCell ref="A46:A48"/>
    <mergeCell ref="A43:A45"/>
    <mergeCell ref="A40:A42"/>
    <mergeCell ref="A73:A75"/>
    <mergeCell ref="A31:A33"/>
    <mergeCell ref="A34:A36"/>
    <mergeCell ref="A1:I1"/>
    <mergeCell ref="A28:A30"/>
    <mergeCell ref="A4:A6"/>
    <mergeCell ref="A7:A9"/>
    <mergeCell ref="A10:A12"/>
    <mergeCell ref="A13:A15"/>
    <mergeCell ref="A16:A18"/>
    <mergeCell ref="A19:A21"/>
    <mergeCell ref="A22:A24"/>
    <mergeCell ref="A25:A27"/>
  </mergeCells>
  <phoneticPr fontId="2" type="noConversion"/>
  <printOptions horizontalCentered="1"/>
  <pageMargins left="0" right="0" top="0.39370078740157483" bottom="0" header="0.51181102362204722" footer="0.51181102362204722"/>
  <pageSetup paperSize="8" scale="79" orientation="portrait" r:id="rId1"/>
  <headerFooter alignWithMargins="0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S67"/>
  <sheetViews>
    <sheetView tabSelected="1" workbookViewId="0">
      <selection activeCell="A66" sqref="A66:F66"/>
    </sheetView>
  </sheetViews>
  <sheetFormatPr defaultColWidth="9" defaultRowHeight="15.75"/>
  <cols>
    <col min="1" max="1" width="15.125" style="111" customWidth="1"/>
    <col min="2" max="2" width="27.5" style="111" bestFit="1" customWidth="1"/>
    <col min="3" max="5" width="13.875" style="111" customWidth="1"/>
    <col min="6" max="6" width="46.875" style="111" customWidth="1"/>
    <col min="7" max="7" width="9.75" style="111" customWidth="1"/>
    <col min="8" max="16384" width="9" style="111"/>
  </cols>
  <sheetData>
    <row r="1" spans="1:19" ht="19.5">
      <c r="A1" s="287" t="s">
        <v>169</v>
      </c>
      <c r="B1" s="288"/>
      <c r="C1" s="288"/>
      <c r="D1" s="288"/>
      <c r="E1" s="288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</row>
    <row r="2" spans="1:19" ht="19.5" customHeight="1" thickBot="1">
      <c r="E2" s="140" t="s">
        <v>115</v>
      </c>
      <c r="R2" s="141"/>
      <c r="S2" s="141"/>
    </row>
    <row r="3" spans="1:19" ht="30" customHeight="1" thickBot="1">
      <c r="A3" s="179" t="s">
        <v>116</v>
      </c>
      <c r="B3" s="180" t="s">
        <v>117</v>
      </c>
      <c r="C3" s="180" t="s">
        <v>25</v>
      </c>
      <c r="D3" s="180" t="s">
        <v>26</v>
      </c>
      <c r="E3" s="181" t="s">
        <v>27</v>
      </c>
    </row>
    <row r="4" spans="1:19" ht="24" customHeight="1">
      <c r="A4" s="286" t="s">
        <v>103</v>
      </c>
      <c r="B4" s="171" t="s">
        <v>23</v>
      </c>
      <c r="C4" s="172">
        <v>220000</v>
      </c>
      <c r="D4" s="172">
        <v>180000</v>
      </c>
      <c r="E4" s="173">
        <f t="shared" ref="E4:E35" si="0">SUM(C4:D4)</f>
        <v>400000</v>
      </c>
    </row>
    <row r="5" spans="1:19" ht="24" customHeight="1">
      <c r="A5" s="284"/>
      <c r="B5" s="142" t="s">
        <v>24</v>
      </c>
      <c r="C5" s="113">
        <v>220000</v>
      </c>
      <c r="D5" s="113">
        <v>180000</v>
      </c>
      <c r="E5" s="143">
        <f t="shared" si="0"/>
        <v>400000</v>
      </c>
    </row>
    <row r="6" spans="1:19" ht="24" customHeight="1" thickBot="1">
      <c r="A6" s="285"/>
      <c r="B6" s="144" t="s">
        <v>118</v>
      </c>
      <c r="C6" s="145"/>
      <c r="D6" s="145"/>
      <c r="E6" s="174">
        <f t="shared" si="0"/>
        <v>0</v>
      </c>
    </row>
    <row r="7" spans="1:19" ht="24" customHeight="1">
      <c r="A7" s="283" t="s">
        <v>28</v>
      </c>
      <c r="B7" s="175" t="s">
        <v>23</v>
      </c>
      <c r="C7" s="176">
        <v>240000</v>
      </c>
      <c r="D7" s="176">
        <v>160000</v>
      </c>
      <c r="E7" s="177">
        <f t="shared" si="0"/>
        <v>400000</v>
      </c>
    </row>
    <row r="8" spans="1:19" ht="24" customHeight="1">
      <c r="A8" s="284"/>
      <c r="B8" s="142" t="s">
        <v>24</v>
      </c>
      <c r="C8" s="113">
        <v>240000</v>
      </c>
      <c r="D8" s="113">
        <v>160000</v>
      </c>
      <c r="E8" s="143">
        <f t="shared" si="0"/>
        <v>400000</v>
      </c>
    </row>
    <row r="9" spans="1:19" ht="24" customHeight="1" thickBot="1">
      <c r="A9" s="285"/>
      <c r="B9" s="144" t="s">
        <v>118</v>
      </c>
      <c r="C9" s="145">
        <v>240000</v>
      </c>
      <c r="D9" s="145">
        <v>35000</v>
      </c>
      <c r="E9" s="174">
        <f t="shared" si="0"/>
        <v>275000</v>
      </c>
    </row>
    <row r="10" spans="1:19" ht="24" customHeight="1">
      <c r="A10" s="283" t="s">
        <v>11</v>
      </c>
      <c r="B10" s="175" t="s">
        <v>23</v>
      </c>
      <c r="C10" s="176">
        <v>225000</v>
      </c>
      <c r="D10" s="176">
        <v>225000</v>
      </c>
      <c r="E10" s="177">
        <f t="shared" si="0"/>
        <v>450000</v>
      </c>
    </row>
    <row r="11" spans="1:19" ht="24" customHeight="1">
      <c r="A11" s="284"/>
      <c r="B11" s="142" t="s">
        <v>24</v>
      </c>
      <c r="C11" s="113">
        <v>225000</v>
      </c>
      <c r="D11" s="113">
        <v>225000</v>
      </c>
      <c r="E11" s="143">
        <f t="shared" si="0"/>
        <v>450000</v>
      </c>
    </row>
    <row r="12" spans="1:19" ht="24" customHeight="1" thickBot="1">
      <c r="A12" s="285"/>
      <c r="B12" s="144" t="s">
        <v>118</v>
      </c>
      <c r="C12" s="145"/>
      <c r="D12" s="145"/>
      <c r="E12" s="174">
        <f t="shared" si="0"/>
        <v>0</v>
      </c>
    </row>
    <row r="13" spans="1:19" ht="24" customHeight="1">
      <c r="A13" s="283" t="s">
        <v>12</v>
      </c>
      <c r="B13" s="175" t="s">
        <v>23</v>
      </c>
      <c r="C13" s="176">
        <v>292500</v>
      </c>
      <c r="D13" s="176">
        <v>157500</v>
      </c>
      <c r="E13" s="177">
        <f t="shared" si="0"/>
        <v>450000</v>
      </c>
    </row>
    <row r="14" spans="1:19" ht="24" customHeight="1">
      <c r="A14" s="284"/>
      <c r="B14" s="142" t="s">
        <v>24</v>
      </c>
      <c r="C14" s="113">
        <v>292500</v>
      </c>
      <c r="D14" s="113">
        <v>157500</v>
      </c>
      <c r="E14" s="143">
        <f t="shared" si="0"/>
        <v>450000</v>
      </c>
    </row>
    <row r="15" spans="1:19" ht="24" customHeight="1" thickBot="1">
      <c r="A15" s="285"/>
      <c r="B15" s="144" t="s">
        <v>118</v>
      </c>
      <c r="C15" s="145">
        <v>270000</v>
      </c>
      <c r="D15" s="145">
        <v>180000</v>
      </c>
      <c r="E15" s="174">
        <f t="shared" si="0"/>
        <v>450000</v>
      </c>
    </row>
    <row r="16" spans="1:19" ht="24" customHeight="1">
      <c r="A16" s="283" t="s">
        <v>13</v>
      </c>
      <c r="B16" s="175" t="s">
        <v>23</v>
      </c>
      <c r="C16" s="176">
        <v>190000</v>
      </c>
      <c r="D16" s="176">
        <v>147500</v>
      </c>
      <c r="E16" s="177">
        <f t="shared" si="0"/>
        <v>337500</v>
      </c>
    </row>
    <row r="17" spans="1:5" ht="24" customHeight="1">
      <c r="A17" s="284"/>
      <c r="B17" s="142" t="s">
        <v>24</v>
      </c>
      <c r="C17" s="113">
        <v>190000</v>
      </c>
      <c r="D17" s="113">
        <v>147500</v>
      </c>
      <c r="E17" s="143">
        <f t="shared" si="0"/>
        <v>337500</v>
      </c>
    </row>
    <row r="18" spans="1:5" ht="24" customHeight="1" thickBot="1">
      <c r="A18" s="285"/>
      <c r="B18" s="144" t="s">
        <v>118</v>
      </c>
      <c r="C18" s="145">
        <v>181350</v>
      </c>
      <c r="D18" s="145">
        <v>97650</v>
      </c>
      <c r="E18" s="174">
        <f t="shared" si="0"/>
        <v>279000</v>
      </c>
    </row>
    <row r="19" spans="1:5" ht="24" customHeight="1">
      <c r="A19" s="283" t="s">
        <v>119</v>
      </c>
      <c r="B19" s="175" t="s">
        <v>23</v>
      </c>
      <c r="C19" s="176">
        <v>102500</v>
      </c>
      <c r="D19" s="176">
        <v>10000</v>
      </c>
      <c r="E19" s="177">
        <f t="shared" si="0"/>
        <v>112500</v>
      </c>
    </row>
    <row r="20" spans="1:5" ht="24" customHeight="1">
      <c r="A20" s="284"/>
      <c r="B20" s="142" t="s">
        <v>24</v>
      </c>
      <c r="C20" s="113">
        <v>102500</v>
      </c>
      <c r="D20" s="113">
        <v>10000</v>
      </c>
      <c r="E20" s="143">
        <f t="shared" si="0"/>
        <v>112500</v>
      </c>
    </row>
    <row r="21" spans="1:5" ht="24" customHeight="1" thickBot="1">
      <c r="A21" s="285"/>
      <c r="B21" s="144" t="s">
        <v>118</v>
      </c>
      <c r="C21" s="145">
        <v>102500</v>
      </c>
      <c r="D21" s="145">
        <v>10000</v>
      </c>
      <c r="E21" s="174">
        <f t="shared" si="0"/>
        <v>112500</v>
      </c>
    </row>
    <row r="22" spans="1:5" ht="24" customHeight="1">
      <c r="A22" s="289" t="s">
        <v>120</v>
      </c>
      <c r="B22" s="175" t="s">
        <v>23</v>
      </c>
      <c r="C22" s="176">
        <v>210000</v>
      </c>
      <c r="D22" s="176">
        <v>90000</v>
      </c>
      <c r="E22" s="177">
        <f t="shared" si="0"/>
        <v>300000</v>
      </c>
    </row>
    <row r="23" spans="1:5" ht="24" customHeight="1">
      <c r="A23" s="284"/>
      <c r="B23" s="142" t="s">
        <v>24</v>
      </c>
      <c r="C23" s="113">
        <v>210000</v>
      </c>
      <c r="D23" s="113">
        <v>90000</v>
      </c>
      <c r="E23" s="143">
        <f t="shared" si="0"/>
        <v>300000</v>
      </c>
    </row>
    <row r="24" spans="1:5" ht="24" customHeight="1" thickBot="1">
      <c r="A24" s="285"/>
      <c r="B24" s="144" t="s">
        <v>118</v>
      </c>
      <c r="C24" s="145"/>
      <c r="D24" s="145"/>
      <c r="E24" s="174">
        <f t="shared" si="0"/>
        <v>0</v>
      </c>
    </row>
    <row r="25" spans="1:5" ht="24" customHeight="1">
      <c r="A25" s="283" t="s">
        <v>121</v>
      </c>
      <c r="B25" s="175" t="s">
        <v>23</v>
      </c>
      <c r="C25" s="176">
        <v>155314</v>
      </c>
      <c r="D25" s="176">
        <v>66562</v>
      </c>
      <c r="E25" s="177">
        <f t="shared" si="0"/>
        <v>221876</v>
      </c>
    </row>
    <row r="26" spans="1:5" ht="24" customHeight="1">
      <c r="A26" s="284"/>
      <c r="B26" s="142" t="s">
        <v>24</v>
      </c>
      <c r="C26" s="113">
        <v>155314</v>
      </c>
      <c r="D26" s="113">
        <v>66562</v>
      </c>
      <c r="E26" s="143">
        <f t="shared" si="0"/>
        <v>221876</v>
      </c>
    </row>
    <row r="27" spans="1:5" ht="24" customHeight="1" thickBot="1">
      <c r="A27" s="285"/>
      <c r="B27" s="144" t="s">
        <v>118</v>
      </c>
      <c r="C27" s="145">
        <v>210000</v>
      </c>
      <c r="D27" s="145">
        <v>90000</v>
      </c>
      <c r="E27" s="174">
        <f t="shared" si="0"/>
        <v>300000</v>
      </c>
    </row>
    <row r="28" spans="1:5" ht="24" customHeight="1">
      <c r="A28" s="283" t="s">
        <v>122</v>
      </c>
      <c r="B28" s="175" t="s">
        <v>23</v>
      </c>
      <c r="C28" s="176">
        <v>210000</v>
      </c>
      <c r="D28" s="176">
        <v>90000</v>
      </c>
      <c r="E28" s="177">
        <f t="shared" si="0"/>
        <v>300000</v>
      </c>
    </row>
    <row r="29" spans="1:5" ht="24" customHeight="1">
      <c r="A29" s="284"/>
      <c r="B29" s="142" t="s">
        <v>24</v>
      </c>
      <c r="C29" s="113">
        <v>210000</v>
      </c>
      <c r="D29" s="113">
        <v>90000</v>
      </c>
      <c r="E29" s="143">
        <f t="shared" si="0"/>
        <v>300000</v>
      </c>
    </row>
    <row r="30" spans="1:5" ht="24" customHeight="1" thickBot="1">
      <c r="A30" s="285"/>
      <c r="B30" s="144" t="s">
        <v>118</v>
      </c>
      <c r="C30" s="145">
        <v>210000</v>
      </c>
      <c r="D30" s="145">
        <v>90000</v>
      </c>
      <c r="E30" s="174">
        <f t="shared" si="0"/>
        <v>300000</v>
      </c>
    </row>
    <row r="31" spans="1:5" ht="24" customHeight="1">
      <c r="A31" s="283" t="s">
        <v>123</v>
      </c>
      <c r="B31" s="175" t="s">
        <v>23</v>
      </c>
      <c r="C31" s="176">
        <v>228722</v>
      </c>
      <c r="D31" s="176">
        <v>25414</v>
      </c>
      <c r="E31" s="177">
        <f t="shared" si="0"/>
        <v>254136</v>
      </c>
    </row>
    <row r="32" spans="1:5" ht="24" customHeight="1">
      <c r="A32" s="284"/>
      <c r="B32" s="142" t="s">
        <v>24</v>
      </c>
      <c r="C32" s="113">
        <v>228722</v>
      </c>
      <c r="D32" s="113">
        <v>25414</v>
      </c>
      <c r="E32" s="143">
        <f t="shared" si="0"/>
        <v>254136</v>
      </c>
    </row>
    <row r="33" spans="1:5" ht="24" customHeight="1" thickBot="1">
      <c r="A33" s="285"/>
      <c r="B33" s="144" t="s">
        <v>118</v>
      </c>
      <c r="C33" s="145">
        <v>54687</v>
      </c>
      <c r="D33" s="145">
        <v>23437</v>
      </c>
      <c r="E33" s="174">
        <f t="shared" si="0"/>
        <v>78124</v>
      </c>
    </row>
    <row r="34" spans="1:5" ht="24" customHeight="1">
      <c r="A34" s="286" t="s">
        <v>124</v>
      </c>
      <c r="B34" s="171" t="s">
        <v>23</v>
      </c>
      <c r="C34" s="172">
        <v>202500</v>
      </c>
      <c r="D34" s="172">
        <v>22500</v>
      </c>
      <c r="E34" s="173">
        <f t="shared" si="0"/>
        <v>225000</v>
      </c>
    </row>
    <row r="35" spans="1:5" ht="24" customHeight="1">
      <c r="A35" s="284"/>
      <c r="B35" s="142" t="s">
        <v>24</v>
      </c>
      <c r="C35" s="113">
        <v>202500</v>
      </c>
      <c r="D35" s="113">
        <v>22500</v>
      </c>
      <c r="E35" s="143">
        <f t="shared" si="0"/>
        <v>225000</v>
      </c>
    </row>
    <row r="36" spans="1:5" ht="24" customHeight="1" thickBot="1">
      <c r="A36" s="285"/>
      <c r="B36" s="144" t="s">
        <v>118</v>
      </c>
      <c r="C36" s="145">
        <v>202500</v>
      </c>
      <c r="D36" s="145">
        <v>22500</v>
      </c>
      <c r="E36" s="174">
        <f t="shared" ref="E36:E54" si="1">SUM(C36:D36)</f>
        <v>225000</v>
      </c>
    </row>
    <row r="37" spans="1:5" ht="24" customHeight="1">
      <c r="A37" s="286" t="s">
        <v>125</v>
      </c>
      <c r="B37" s="171" t="s">
        <v>23</v>
      </c>
      <c r="C37" s="172">
        <v>179089</v>
      </c>
      <c r="D37" s="172">
        <v>19899</v>
      </c>
      <c r="E37" s="173">
        <f t="shared" si="1"/>
        <v>198988</v>
      </c>
    </row>
    <row r="38" spans="1:5" ht="24" customHeight="1">
      <c r="A38" s="284"/>
      <c r="B38" s="142" t="s">
        <v>24</v>
      </c>
      <c r="C38" s="113">
        <v>179089</v>
      </c>
      <c r="D38" s="113">
        <v>19899</v>
      </c>
      <c r="E38" s="143">
        <f t="shared" si="1"/>
        <v>198988</v>
      </c>
    </row>
    <row r="39" spans="1:5" ht="24" customHeight="1" thickBot="1">
      <c r="A39" s="285"/>
      <c r="B39" s="144" t="s">
        <v>118</v>
      </c>
      <c r="C39" s="145">
        <v>179090</v>
      </c>
      <c r="D39" s="145">
        <v>19898</v>
      </c>
      <c r="E39" s="174">
        <f t="shared" si="1"/>
        <v>198988</v>
      </c>
    </row>
    <row r="40" spans="1:5" ht="24" customHeight="1">
      <c r="A40" s="286" t="s">
        <v>126</v>
      </c>
      <c r="B40" s="171" t="s">
        <v>23</v>
      </c>
      <c r="C40" s="172">
        <v>128762</v>
      </c>
      <c r="D40" s="172">
        <v>55184</v>
      </c>
      <c r="E40" s="173">
        <f t="shared" si="1"/>
        <v>183946</v>
      </c>
    </row>
    <row r="41" spans="1:5" ht="24" customHeight="1">
      <c r="A41" s="284"/>
      <c r="B41" s="142" t="s">
        <v>24</v>
      </c>
      <c r="C41" s="113">
        <v>128762</v>
      </c>
      <c r="D41" s="113">
        <v>55184</v>
      </c>
      <c r="E41" s="143">
        <f t="shared" si="1"/>
        <v>183946</v>
      </c>
    </row>
    <row r="42" spans="1:5" ht="24" customHeight="1" thickBot="1">
      <c r="A42" s="285"/>
      <c r="B42" s="144" t="s">
        <v>118</v>
      </c>
      <c r="C42" s="145">
        <v>270000</v>
      </c>
      <c r="D42" s="145">
        <v>30000</v>
      </c>
      <c r="E42" s="174">
        <f t="shared" si="1"/>
        <v>300000</v>
      </c>
    </row>
    <row r="43" spans="1:5" ht="24" customHeight="1">
      <c r="A43" s="286" t="s">
        <v>159</v>
      </c>
      <c r="B43" s="171" t="s">
        <v>160</v>
      </c>
      <c r="C43" s="172">
        <v>283787</v>
      </c>
      <c r="D43" s="172">
        <v>68233</v>
      </c>
      <c r="E43" s="173">
        <f t="shared" si="1"/>
        <v>352020</v>
      </c>
    </row>
    <row r="44" spans="1:5" ht="24" customHeight="1">
      <c r="A44" s="284"/>
      <c r="B44" s="142" t="s">
        <v>24</v>
      </c>
      <c r="C44" s="113">
        <v>283787</v>
      </c>
      <c r="D44" s="113">
        <v>68233</v>
      </c>
      <c r="E44" s="143">
        <f t="shared" si="1"/>
        <v>352020</v>
      </c>
    </row>
    <row r="45" spans="1:5" ht="24" customHeight="1" thickBot="1">
      <c r="A45" s="285"/>
      <c r="B45" s="144" t="s">
        <v>161</v>
      </c>
      <c r="C45" s="145">
        <v>0</v>
      </c>
      <c r="D45" s="145">
        <v>0</v>
      </c>
      <c r="E45" s="174">
        <f t="shared" si="1"/>
        <v>0</v>
      </c>
    </row>
    <row r="46" spans="1:5" ht="24" customHeight="1">
      <c r="A46" s="286" t="s">
        <v>173</v>
      </c>
      <c r="B46" s="171" t="s">
        <v>160</v>
      </c>
      <c r="C46" s="172">
        <v>325161</v>
      </c>
      <c r="D46" s="172">
        <v>77953</v>
      </c>
      <c r="E46" s="173">
        <f t="shared" si="1"/>
        <v>403114</v>
      </c>
    </row>
    <row r="47" spans="1:5" s="187" customFormat="1" ht="24" customHeight="1">
      <c r="A47" s="284"/>
      <c r="B47" s="142" t="s">
        <v>24</v>
      </c>
      <c r="C47" s="113">
        <v>325161</v>
      </c>
      <c r="D47" s="113">
        <v>77953</v>
      </c>
      <c r="E47" s="143">
        <f t="shared" si="1"/>
        <v>403114</v>
      </c>
    </row>
    <row r="48" spans="1:5" s="187" customFormat="1" ht="24" customHeight="1" thickBot="1">
      <c r="A48" s="285"/>
      <c r="B48" s="144" t="s">
        <v>118</v>
      </c>
      <c r="C48" s="145">
        <v>281616</v>
      </c>
      <c r="D48" s="145">
        <v>69000</v>
      </c>
      <c r="E48" s="174">
        <f t="shared" si="1"/>
        <v>350616</v>
      </c>
    </row>
    <row r="49" spans="1:5" s="187" customFormat="1" ht="24" customHeight="1">
      <c r="A49" s="286" t="s">
        <v>180</v>
      </c>
      <c r="B49" s="171" t="s">
        <v>160</v>
      </c>
      <c r="C49" s="172">
        <v>349984</v>
      </c>
      <c r="D49" s="172">
        <v>84333</v>
      </c>
      <c r="E49" s="173">
        <f t="shared" si="1"/>
        <v>434317</v>
      </c>
    </row>
    <row r="50" spans="1:5" s="190" customFormat="1" ht="24" customHeight="1">
      <c r="A50" s="284"/>
      <c r="B50" s="142" t="s">
        <v>24</v>
      </c>
      <c r="C50" s="113">
        <v>349984</v>
      </c>
      <c r="D50" s="113">
        <v>84333</v>
      </c>
      <c r="E50" s="143">
        <f t="shared" si="1"/>
        <v>434317</v>
      </c>
    </row>
    <row r="51" spans="1:5" s="190" customFormat="1" ht="24" customHeight="1" thickBot="1">
      <c r="A51" s="285"/>
      <c r="B51" s="144" t="s">
        <v>118</v>
      </c>
      <c r="C51" s="145">
        <v>283788</v>
      </c>
      <c r="D51" s="145">
        <v>68232</v>
      </c>
      <c r="E51" s="174">
        <f t="shared" si="1"/>
        <v>352020</v>
      </c>
    </row>
    <row r="52" spans="1:5" s="190" customFormat="1" ht="24" customHeight="1">
      <c r="A52" s="286" t="s">
        <v>185</v>
      </c>
      <c r="B52" s="171" t="s">
        <v>160</v>
      </c>
      <c r="C52" s="172">
        <v>351499</v>
      </c>
      <c r="D52" s="172">
        <v>84323</v>
      </c>
      <c r="E52" s="173">
        <f t="shared" si="1"/>
        <v>435822</v>
      </c>
    </row>
    <row r="53" spans="1:5" s="191" customFormat="1" ht="24" customHeight="1">
      <c r="A53" s="284"/>
      <c r="B53" s="142" t="s">
        <v>24</v>
      </c>
      <c r="C53" s="113">
        <v>351499</v>
      </c>
      <c r="D53" s="113">
        <v>84323</v>
      </c>
      <c r="E53" s="143">
        <f t="shared" si="1"/>
        <v>435822</v>
      </c>
    </row>
    <row r="54" spans="1:5" s="191" customFormat="1" ht="24" customHeight="1" thickBot="1">
      <c r="A54" s="285"/>
      <c r="B54" s="144" t="s">
        <v>118</v>
      </c>
      <c r="C54" s="145">
        <v>335081</v>
      </c>
      <c r="D54" s="145">
        <v>68232</v>
      </c>
      <c r="E54" s="174">
        <f t="shared" si="1"/>
        <v>403313</v>
      </c>
    </row>
    <row r="55" spans="1:5" s="191" customFormat="1" ht="24" customHeight="1">
      <c r="A55" s="286" t="s">
        <v>191</v>
      </c>
      <c r="B55" s="171" t="s">
        <v>160</v>
      </c>
      <c r="C55" s="172">
        <v>353904</v>
      </c>
      <c r="D55" s="172">
        <v>83553</v>
      </c>
      <c r="E55" s="173">
        <f t="shared" ref="E55:E57" si="2">SUM(C55:D55)</f>
        <v>437457</v>
      </c>
    </row>
    <row r="56" spans="1:5" s="190" customFormat="1" ht="24" customHeight="1">
      <c r="A56" s="284"/>
      <c r="B56" s="142" t="s">
        <v>24</v>
      </c>
      <c r="C56" s="113">
        <v>353904</v>
      </c>
      <c r="D56" s="113">
        <v>83553</v>
      </c>
      <c r="E56" s="143">
        <f t="shared" si="2"/>
        <v>437457</v>
      </c>
    </row>
    <row r="57" spans="1:5" s="194" customFormat="1" ht="24" customHeight="1" thickBot="1">
      <c r="A57" s="285"/>
      <c r="B57" s="144" t="s">
        <v>118</v>
      </c>
      <c r="C57" s="145">
        <v>349984</v>
      </c>
      <c r="D57" s="195">
        <v>84333</v>
      </c>
      <c r="E57" s="174">
        <f t="shared" si="2"/>
        <v>434317</v>
      </c>
    </row>
    <row r="58" spans="1:5" s="215" customFormat="1" ht="24" customHeight="1">
      <c r="A58" s="286" t="s">
        <v>194</v>
      </c>
      <c r="B58" s="171" t="s">
        <v>160</v>
      </c>
      <c r="C58" s="172">
        <v>358820</v>
      </c>
      <c r="D58" s="172">
        <v>91377</v>
      </c>
      <c r="E58" s="173">
        <f t="shared" ref="E58:E63" si="3">SUM(C58:D58)</f>
        <v>450197</v>
      </c>
    </row>
    <row r="59" spans="1:5" s="215" customFormat="1" ht="24" customHeight="1">
      <c r="A59" s="284"/>
      <c r="B59" s="142" t="s">
        <v>24</v>
      </c>
      <c r="C59" s="113">
        <v>358820</v>
      </c>
      <c r="D59" s="172">
        <v>91377</v>
      </c>
      <c r="E59" s="173">
        <f t="shared" si="3"/>
        <v>450197</v>
      </c>
    </row>
    <row r="60" spans="1:5" s="215" customFormat="1" ht="24" customHeight="1" thickBot="1">
      <c r="A60" s="285"/>
      <c r="B60" s="144" t="s">
        <v>118</v>
      </c>
      <c r="C60" s="145">
        <v>354864</v>
      </c>
      <c r="D60" s="195">
        <v>88716</v>
      </c>
      <c r="E60" s="174">
        <f t="shared" si="3"/>
        <v>443580</v>
      </c>
    </row>
    <row r="61" spans="1:5" s="198" customFormat="1" ht="24" customHeight="1">
      <c r="A61" s="286" t="s">
        <v>203</v>
      </c>
      <c r="B61" s="171" t="s">
        <v>160</v>
      </c>
      <c r="C61" s="172">
        <v>371619</v>
      </c>
      <c r="D61" s="172">
        <v>89169</v>
      </c>
      <c r="E61" s="173">
        <f t="shared" si="3"/>
        <v>460788</v>
      </c>
    </row>
    <row r="62" spans="1:5" s="198" customFormat="1" ht="24" customHeight="1">
      <c r="A62" s="284"/>
      <c r="B62" s="142" t="s">
        <v>24</v>
      </c>
      <c r="C62" s="113">
        <v>371619</v>
      </c>
      <c r="D62" s="172">
        <v>89169</v>
      </c>
      <c r="E62" s="173">
        <f t="shared" si="3"/>
        <v>460788</v>
      </c>
    </row>
    <row r="63" spans="1:5" s="198" customFormat="1" ht="24" customHeight="1" thickBot="1">
      <c r="A63" s="285"/>
      <c r="B63" s="144" t="s">
        <v>118</v>
      </c>
      <c r="C63" s="145">
        <v>370856</v>
      </c>
      <c r="D63" s="195">
        <v>92806</v>
      </c>
      <c r="E63" s="174">
        <f t="shared" si="3"/>
        <v>463662</v>
      </c>
    </row>
    <row r="64" spans="1:5" s="194" customFormat="1">
      <c r="E64" s="141"/>
    </row>
    <row r="65" spans="1:6" ht="16.5" customHeight="1">
      <c r="A65" s="146" t="s">
        <v>127</v>
      </c>
    </row>
    <row r="66" spans="1:6" ht="16.5" customHeight="1">
      <c r="A66" s="290" t="s">
        <v>162</v>
      </c>
      <c r="B66" s="290"/>
      <c r="C66" s="290"/>
      <c r="D66" s="290"/>
      <c r="E66" s="290"/>
      <c r="F66" s="290"/>
    </row>
    <row r="67" spans="1:6" ht="16.5">
      <c r="A67" s="290" t="s">
        <v>163</v>
      </c>
      <c r="B67" s="290"/>
      <c r="C67" s="290"/>
      <c r="D67" s="290"/>
      <c r="E67" s="290"/>
      <c r="F67" s="290"/>
    </row>
  </sheetData>
  <mergeCells count="23">
    <mergeCell ref="A46:A48"/>
    <mergeCell ref="A31:A33"/>
    <mergeCell ref="A67:F67"/>
    <mergeCell ref="A66:F66"/>
    <mergeCell ref="A49:A51"/>
    <mergeCell ref="A52:A54"/>
    <mergeCell ref="A55:A57"/>
    <mergeCell ref="A61:A63"/>
    <mergeCell ref="A58:A60"/>
    <mergeCell ref="A28:A30"/>
    <mergeCell ref="A25:A27"/>
    <mergeCell ref="A43:A45"/>
    <mergeCell ref="A40:A42"/>
    <mergeCell ref="A1:E1"/>
    <mergeCell ref="A16:A18"/>
    <mergeCell ref="A19:A21"/>
    <mergeCell ref="A22:A24"/>
    <mergeCell ref="A4:A6"/>
    <mergeCell ref="A7:A9"/>
    <mergeCell ref="A10:A12"/>
    <mergeCell ref="A13:A15"/>
    <mergeCell ref="A37:A39"/>
    <mergeCell ref="A34:A36"/>
  </mergeCells>
  <phoneticPr fontId="2" type="noConversion"/>
  <printOptions horizontalCentered="1"/>
  <pageMargins left="0.39370078740157483" right="0.39370078740157483" top="0.39370078740157483" bottom="0.19685039370078741" header="0.51181102362204722" footer="0.51181102362204722"/>
  <pageSetup paperSize="8" scale="76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8</vt:i4>
      </vt:variant>
      <vt:variant>
        <vt:lpstr>具名範圍</vt:lpstr>
      </vt:variant>
      <vt:variant>
        <vt:i4>3</vt:i4>
      </vt:variant>
    </vt:vector>
  </HeadingPairs>
  <TitlesOfParts>
    <vt:vector size="11" baseType="lpstr">
      <vt:lpstr>表7-1歷年經費收入統計</vt:lpstr>
      <vt:lpstr>表7-2歷年經費支出決算表</vt:lpstr>
      <vt:lpstr>表7-3歷年收支餘絀決算表</vt:lpstr>
      <vt:lpstr>表7-4歷年人事費支出</vt:lpstr>
      <vt:lpstr>表7-5歷年水電費支出</vt:lpstr>
      <vt:lpstr>表7-6歷年新建工程總金額</vt:lpstr>
      <vt:lpstr>表7-7歷年國庫補助收入</vt:lpstr>
      <vt:lpstr>表7-8頂尖(高教深耕)計畫編列情形</vt:lpstr>
      <vt:lpstr>'表7-8頂尖(高教深耕)計畫編列情形'!Print_Area</vt:lpstr>
      <vt:lpstr>'表7-1歷年經費收入統計'!Print_Titles</vt:lpstr>
      <vt:lpstr>'表7-2歷年經費支出決算表'!Print_Titles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ACC002</dc:creator>
  <cp:lastModifiedBy>User</cp:lastModifiedBy>
  <cp:lastPrinted>2025-08-01T05:43:45Z</cp:lastPrinted>
  <dcterms:created xsi:type="dcterms:W3CDTF">2014-07-28T09:33:05Z</dcterms:created>
  <dcterms:modified xsi:type="dcterms:W3CDTF">2025-08-12T08:09:44Z</dcterms:modified>
</cp:coreProperties>
</file>